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ZGSTGNT\Desktop\"/>
    </mc:Choice>
  </mc:AlternateContent>
  <bookViews>
    <workbookView xWindow="0" yWindow="0" windowWidth="19200" windowHeight="12285" tabRatio="788"/>
  </bookViews>
  <sheets>
    <sheet name="Anleitung" sheetId="1" r:id="rId1"/>
    <sheet name="Deckblatt" sheetId="2" r:id="rId2"/>
    <sheet name="Teilnehmer" sheetId="7" r:id="rId3"/>
    <sheet name="Mannschaften" sheetId="3" r:id="rId4"/>
    <sheet name="Kampfrichter" sheetId="4" r:id="rId5"/>
    <sheet name="Übersicht" sheetId="9" r:id="rId6"/>
    <sheet name="WK-Vorlagen" sheetId="16" state="hidden" r:id="rId7"/>
    <sheet name="Veranstaltungen" sheetId="15" state="hidden" r:id="rId8"/>
    <sheet name="Vereine" sheetId="6" state="hidden" r:id="rId9"/>
    <sheet name="Veranstalter" sheetId="14" state="hidden" r:id="rId10"/>
    <sheet name="Kampfrichter-Fachgebiete" sheetId="13" state="hidden" r:id="rId11"/>
    <sheet name="Kampfrichter-Lizenzen" sheetId="12" state="hidden" r:id="rId12"/>
    <sheet name="Schwierigkeitsstufen" sheetId="11" state="hidden" r:id="rId13"/>
  </sheets>
  <definedNames>
    <definedName name="Auswahl_LA">Schwierigkeitsstufen!$B$2:$B$3</definedName>
    <definedName name="_xlnm.Print_Area" localSheetId="3">Mannschaften!$A$1:$P$54</definedName>
    <definedName name="_xlnm.Print_Area" localSheetId="12">Schwierigkeitsstufen!$A$1:$I$30</definedName>
    <definedName name="_xlnm.Print_Area" localSheetId="2">Teilnehmer!$A$1:$AD$45</definedName>
    <definedName name="Geburtsdatum_Maximal">Schwierigkeitsstufen!$H$3</definedName>
    <definedName name="Geburtsdatum_Minimal">Schwierigkeitsstufen!$H$2</definedName>
    <definedName name="Jahr">'WK-Vorlagen'!$H$1</definedName>
    <definedName name="Kampfrichter_Fachgebietsliste">'Kampfrichter-Fachgebiete'!$A$2:$A$9</definedName>
    <definedName name="Kampfrichterlizenzliste">'Kampfrichter-Lizenzen'!$A$2:$A$9</definedName>
    <definedName name="MannschaftsNrListe">Mannschaften!$A$5:$A$54</definedName>
    <definedName name="Veranstalterliste">Veranstalter!$A$2:$A$3</definedName>
    <definedName name="Veranstaltungsliste">Veranstaltungen!$B$2:$B$7</definedName>
    <definedName name="Vereinsliste">Vereine!$A$1:$A$99</definedName>
    <definedName name="WKNrListe">Übersicht!$A$7:$A$46</definedName>
    <definedName name="WKNrListeMannschaft">Übersicht!$A$7:$A$46</definedName>
  </definedNames>
  <calcPr calcId="152511"/>
</workbook>
</file>

<file path=xl/calcChain.xml><?xml version="1.0" encoding="utf-8"?>
<calcChain xmlns="http://schemas.openxmlformats.org/spreadsheetml/2006/main">
  <c r="R54" i="3" l="1"/>
  <c r="R53" i="3"/>
  <c r="R52" i="3"/>
  <c r="R51" i="3"/>
  <c r="R50" i="3"/>
  <c r="R49" i="3"/>
  <c r="R48" i="3"/>
  <c r="R47" i="3"/>
  <c r="R46" i="3"/>
  <c r="R45" i="3"/>
  <c r="R44" i="3"/>
  <c r="R43" i="3"/>
  <c r="R42" i="3"/>
  <c r="R41" i="3"/>
  <c r="R40" i="3"/>
  <c r="R39" i="3"/>
  <c r="R38" i="3"/>
  <c r="R37" i="3"/>
  <c r="R36" i="3"/>
  <c r="R35" i="3"/>
  <c r="R34" i="3"/>
  <c r="R33" i="3"/>
  <c r="R32" i="3"/>
  <c r="R31" i="3"/>
  <c r="R30" i="3"/>
  <c r="R29" i="3"/>
  <c r="R28" i="3"/>
  <c r="R27" i="3"/>
  <c r="R26" i="3"/>
  <c r="R25" i="3"/>
  <c r="R24" i="3"/>
  <c r="R23" i="3"/>
  <c r="R22" i="3"/>
  <c r="R21" i="3"/>
  <c r="R20" i="3"/>
  <c r="R19" i="3"/>
  <c r="R18" i="3"/>
  <c r="R17" i="3"/>
  <c r="R16" i="3"/>
  <c r="R15" i="3"/>
  <c r="R14" i="3"/>
  <c r="R13" i="3"/>
  <c r="R12" i="3"/>
  <c r="R11" i="3"/>
  <c r="R10" i="3"/>
  <c r="R9" i="3"/>
  <c r="R8" i="3"/>
  <c r="R7" i="3"/>
  <c r="R6" i="3"/>
  <c r="R5" i="3"/>
  <c r="C25" i="2"/>
  <c r="C30" i="2" s="1"/>
  <c r="C26" i="2"/>
  <c r="C29" i="2" s="1"/>
  <c r="E30" i="2" s="1"/>
  <c r="J3" i="15"/>
  <c r="I3" i="15"/>
  <c r="AN46" i="7"/>
  <c r="AN999" i="7"/>
  <c r="AN998" i="7"/>
  <c r="AN997" i="7"/>
  <c r="AN996" i="7"/>
  <c r="AN995" i="7"/>
  <c r="AN994" i="7"/>
  <c r="AN993" i="7"/>
  <c r="AN992" i="7"/>
  <c r="AN991" i="7"/>
  <c r="AN990" i="7"/>
  <c r="AN989" i="7"/>
  <c r="AN988" i="7"/>
  <c r="AN987" i="7"/>
  <c r="AN986" i="7"/>
  <c r="AN985" i="7"/>
  <c r="AN984" i="7"/>
  <c r="AN983" i="7"/>
  <c r="AN982" i="7"/>
  <c r="AN981" i="7"/>
  <c r="AN980" i="7"/>
  <c r="AN979" i="7"/>
  <c r="AN978" i="7"/>
  <c r="AN977" i="7"/>
  <c r="AN976" i="7"/>
  <c r="AN975" i="7"/>
  <c r="AN974" i="7"/>
  <c r="AN973" i="7"/>
  <c r="AN972" i="7"/>
  <c r="AN971" i="7"/>
  <c r="AN970" i="7"/>
  <c r="AN969" i="7"/>
  <c r="AN968" i="7"/>
  <c r="AN967" i="7"/>
  <c r="AN966" i="7"/>
  <c r="AN965" i="7"/>
  <c r="AN964" i="7"/>
  <c r="AN963" i="7"/>
  <c r="AN962" i="7"/>
  <c r="AN961" i="7"/>
  <c r="AN960" i="7"/>
  <c r="AN959" i="7"/>
  <c r="AN958" i="7"/>
  <c r="AN957" i="7"/>
  <c r="AN956" i="7"/>
  <c r="AN955" i="7"/>
  <c r="AN954" i="7"/>
  <c r="AN953" i="7"/>
  <c r="AN952" i="7"/>
  <c r="AN951" i="7"/>
  <c r="AN950" i="7"/>
  <c r="AN949" i="7"/>
  <c r="AN948" i="7"/>
  <c r="AN947" i="7"/>
  <c r="AN946" i="7"/>
  <c r="AN945" i="7"/>
  <c r="AN944" i="7"/>
  <c r="AN943" i="7"/>
  <c r="AN942" i="7"/>
  <c r="AN941" i="7"/>
  <c r="AN940" i="7"/>
  <c r="AN939" i="7"/>
  <c r="AN938" i="7"/>
  <c r="AN937" i="7"/>
  <c r="AN936" i="7"/>
  <c r="AN935" i="7"/>
  <c r="AN934" i="7"/>
  <c r="AN933" i="7"/>
  <c r="AN932" i="7"/>
  <c r="AN931" i="7"/>
  <c r="AN930" i="7"/>
  <c r="AN929" i="7"/>
  <c r="AN928" i="7"/>
  <c r="AN927" i="7"/>
  <c r="AN926" i="7"/>
  <c r="AN925" i="7"/>
  <c r="AN924" i="7"/>
  <c r="AN923" i="7"/>
  <c r="AN922" i="7"/>
  <c r="AN921" i="7"/>
  <c r="AN920" i="7"/>
  <c r="AN919" i="7"/>
  <c r="AN918" i="7"/>
  <c r="AN917" i="7"/>
  <c r="AN916" i="7"/>
  <c r="AN915" i="7"/>
  <c r="AN914" i="7"/>
  <c r="AN913" i="7"/>
  <c r="AN912" i="7"/>
  <c r="AN911" i="7"/>
  <c r="AN910" i="7"/>
  <c r="AN909" i="7"/>
  <c r="AN908" i="7"/>
  <c r="AN907" i="7"/>
  <c r="AN906" i="7"/>
  <c r="AN905" i="7"/>
  <c r="AN904" i="7"/>
  <c r="AN903" i="7"/>
  <c r="AN902" i="7"/>
  <c r="AN901" i="7"/>
  <c r="AN900" i="7"/>
  <c r="AN899" i="7"/>
  <c r="AN898" i="7"/>
  <c r="AN897" i="7"/>
  <c r="AN896" i="7"/>
  <c r="AN895" i="7"/>
  <c r="AN894" i="7"/>
  <c r="AN893" i="7"/>
  <c r="AN892" i="7"/>
  <c r="AN891" i="7"/>
  <c r="AN890" i="7"/>
  <c r="AN889" i="7"/>
  <c r="AN888" i="7"/>
  <c r="AN887" i="7"/>
  <c r="AN886" i="7"/>
  <c r="AN885" i="7"/>
  <c r="AN884" i="7"/>
  <c r="AN883" i="7"/>
  <c r="AN882" i="7"/>
  <c r="AN881" i="7"/>
  <c r="AN880" i="7"/>
  <c r="AN879" i="7"/>
  <c r="AN878" i="7"/>
  <c r="AN877" i="7"/>
  <c r="AN876" i="7"/>
  <c r="AN875" i="7"/>
  <c r="AN874" i="7"/>
  <c r="AN873" i="7"/>
  <c r="AN872" i="7"/>
  <c r="AN871" i="7"/>
  <c r="AN870" i="7"/>
  <c r="AN869" i="7"/>
  <c r="AN868" i="7"/>
  <c r="AN867" i="7"/>
  <c r="AN866" i="7"/>
  <c r="AN865" i="7"/>
  <c r="AN864" i="7"/>
  <c r="AN863" i="7"/>
  <c r="AN862" i="7"/>
  <c r="AN861" i="7"/>
  <c r="AN860" i="7"/>
  <c r="AN859" i="7"/>
  <c r="AN858" i="7"/>
  <c r="AN857" i="7"/>
  <c r="AN856" i="7"/>
  <c r="AN855" i="7"/>
  <c r="AN854" i="7"/>
  <c r="AN853" i="7"/>
  <c r="AN852" i="7"/>
  <c r="AN851" i="7"/>
  <c r="AN850" i="7"/>
  <c r="AN849" i="7"/>
  <c r="AN848" i="7"/>
  <c r="AN847" i="7"/>
  <c r="AN846" i="7"/>
  <c r="AN845" i="7"/>
  <c r="AN844" i="7"/>
  <c r="AN843" i="7"/>
  <c r="AN842" i="7"/>
  <c r="AN841" i="7"/>
  <c r="AN840" i="7"/>
  <c r="AN839" i="7"/>
  <c r="AN838" i="7"/>
  <c r="AN837" i="7"/>
  <c r="AN836" i="7"/>
  <c r="AN835" i="7"/>
  <c r="AN834" i="7"/>
  <c r="AN833" i="7"/>
  <c r="AN832" i="7"/>
  <c r="AN831" i="7"/>
  <c r="AN830" i="7"/>
  <c r="AN829" i="7"/>
  <c r="AN828" i="7"/>
  <c r="AN827" i="7"/>
  <c r="AN826" i="7"/>
  <c r="AN825" i="7"/>
  <c r="AN824" i="7"/>
  <c r="AN823" i="7"/>
  <c r="AN822" i="7"/>
  <c r="AN821" i="7"/>
  <c r="AN820" i="7"/>
  <c r="AN819" i="7"/>
  <c r="AN818" i="7"/>
  <c r="AN817" i="7"/>
  <c r="AN816" i="7"/>
  <c r="AN815" i="7"/>
  <c r="AN814" i="7"/>
  <c r="AN813" i="7"/>
  <c r="AN812" i="7"/>
  <c r="AN811" i="7"/>
  <c r="AN810" i="7"/>
  <c r="AN809" i="7"/>
  <c r="AN808" i="7"/>
  <c r="AN807" i="7"/>
  <c r="AN806" i="7"/>
  <c r="AN805" i="7"/>
  <c r="AN804" i="7"/>
  <c r="AN803" i="7"/>
  <c r="AN802" i="7"/>
  <c r="AN801" i="7"/>
  <c r="AN800" i="7"/>
  <c r="AN799" i="7"/>
  <c r="AN798" i="7"/>
  <c r="AN797" i="7"/>
  <c r="AN796" i="7"/>
  <c r="AN795" i="7"/>
  <c r="AN794" i="7"/>
  <c r="AN793" i="7"/>
  <c r="AN792" i="7"/>
  <c r="AN791" i="7"/>
  <c r="AN790" i="7"/>
  <c r="AN789" i="7"/>
  <c r="AN788" i="7"/>
  <c r="AN787" i="7"/>
  <c r="AN786" i="7"/>
  <c r="AN785" i="7"/>
  <c r="AN784" i="7"/>
  <c r="AN783" i="7"/>
  <c r="AN782" i="7"/>
  <c r="AN781" i="7"/>
  <c r="AN780" i="7"/>
  <c r="AN779" i="7"/>
  <c r="AN778" i="7"/>
  <c r="AN777" i="7"/>
  <c r="AN776" i="7"/>
  <c r="AN775" i="7"/>
  <c r="AN774" i="7"/>
  <c r="AN773" i="7"/>
  <c r="AN772" i="7"/>
  <c r="AN771" i="7"/>
  <c r="AN770" i="7"/>
  <c r="AN769" i="7"/>
  <c r="AN768" i="7"/>
  <c r="AN767" i="7"/>
  <c r="AN766" i="7"/>
  <c r="AN765" i="7"/>
  <c r="AN764" i="7"/>
  <c r="AN763" i="7"/>
  <c r="AN762" i="7"/>
  <c r="AN761" i="7"/>
  <c r="AN760" i="7"/>
  <c r="AN759" i="7"/>
  <c r="AN758" i="7"/>
  <c r="AN757" i="7"/>
  <c r="AN756" i="7"/>
  <c r="AN755" i="7"/>
  <c r="AN754" i="7"/>
  <c r="AN753" i="7"/>
  <c r="AN752" i="7"/>
  <c r="AN751" i="7"/>
  <c r="AN750" i="7"/>
  <c r="AN749" i="7"/>
  <c r="AN748" i="7"/>
  <c r="AN747" i="7"/>
  <c r="AN746" i="7"/>
  <c r="AN745" i="7"/>
  <c r="AN744" i="7"/>
  <c r="AN743" i="7"/>
  <c r="AN742" i="7"/>
  <c r="AN741" i="7"/>
  <c r="AN740" i="7"/>
  <c r="AN739" i="7"/>
  <c r="AN738" i="7"/>
  <c r="AN737" i="7"/>
  <c r="AN736" i="7"/>
  <c r="AN735" i="7"/>
  <c r="AN734" i="7"/>
  <c r="AN733" i="7"/>
  <c r="AN732" i="7"/>
  <c r="AN731" i="7"/>
  <c r="AN730" i="7"/>
  <c r="AN729" i="7"/>
  <c r="AN728" i="7"/>
  <c r="AN727" i="7"/>
  <c r="AN726" i="7"/>
  <c r="AN725" i="7"/>
  <c r="AN724" i="7"/>
  <c r="AN723" i="7"/>
  <c r="AN722" i="7"/>
  <c r="AN721" i="7"/>
  <c r="AN720" i="7"/>
  <c r="AN719" i="7"/>
  <c r="AN718" i="7"/>
  <c r="AN717" i="7"/>
  <c r="AN716" i="7"/>
  <c r="AN715" i="7"/>
  <c r="AN714" i="7"/>
  <c r="AN713" i="7"/>
  <c r="AN712" i="7"/>
  <c r="AN711" i="7"/>
  <c r="AN710" i="7"/>
  <c r="AN709" i="7"/>
  <c r="AN708" i="7"/>
  <c r="AN707" i="7"/>
  <c r="AN706" i="7"/>
  <c r="AN705" i="7"/>
  <c r="AN704" i="7"/>
  <c r="AN703" i="7"/>
  <c r="AN702" i="7"/>
  <c r="AN701" i="7"/>
  <c r="AN700" i="7"/>
  <c r="AN699" i="7"/>
  <c r="AN698" i="7"/>
  <c r="AN697" i="7"/>
  <c r="AN696" i="7"/>
  <c r="AN695" i="7"/>
  <c r="AN694" i="7"/>
  <c r="AN693" i="7"/>
  <c r="AN692" i="7"/>
  <c r="AN691" i="7"/>
  <c r="AN690" i="7"/>
  <c r="AN689" i="7"/>
  <c r="AN688" i="7"/>
  <c r="AN687" i="7"/>
  <c r="AN686" i="7"/>
  <c r="AN685" i="7"/>
  <c r="AN684" i="7"/>
  <c r="AN683" i="7"/>
  <c r="AN682" i="7"/>
  <c r="AN681" i="7"/>
  <c r="AN680" i="7"/>
  <c r="AN679" i="7"/>
  <c r="AN678" i="7"/>
  <c r="AN677" i="7"/>
  <c r="AN676" i="7"/>
  <c r="AN675" i="7"/>
  <c r="AN674" i="7"/>
  <c r="AN673" i="7"/>
  <c r="AN672" i="7"/>
  <c r="AN671" i="7"/>
  <c r="AN670" i="7"/>
  <c r="AN669" i="7"/>
  <c r="AN668" i="7"/>
  <c r="AN667" i="7"/>
  <c r="AN666" i="7"/>
  <c r="AN665" i="7"/>
  <c r="AN664" i="7"/>
  <c r="AN663" i="7"/>
  <c r="AN662" i="7"/>
  <c r="AN661" i="7"/>
  <c r="AN660" i="7"/>
  <c r="AN659" i="7"/>
  <c r="AN658" i="7"/>
  <c r="AN657" i="7"/>
  <c r="AN656" i="7"/>
  <c r="AN655" i="7"/>
  <c r="AN654" i="7"/>
  <c r="AN653" i="7"/>
  <c r="AN652" i="7"/>
  <c r="AN651" i="7"/>
  <c r="AN650" i="7"/>
  <c r="AN649" i="7"/>
  <c r="AN648" i="7"/>
  <c r="AN647" i="7"/>
  <c r="AN646" i="7"/>
  <c r="AN645" i="7"/>
  <c r="AN644" i="7"/>
  <c r="AN643" i="7"/>
  <c r="AN642" i="7"/>
  <c r="AN641" i="7"/>
  <c r="AN640" i="7"/>
  <c r="AN639" i="7"/>
  <c r="AN638" i="7"/>
  <c r="AN637" i="7"/>
  <c r="AN636" i="7"/>
  <c r="AN635" i="7"/>
  <c r="AN634" i="7"/>
  <c r="AN633" i="7"/>
  <c r="AN632" i="7"/>
  <c r="AN631" i="7"/>
  <c r="AN630" i="7"/>
  <c r="AN629" i="7"/>
  <c r="AN628" i="7"/>
  <c r="AN627" i="7"/>
  <c r="AN626" i="7"/>
  <c r="AN625" i="7"/>
  <c r="AN624" i="7"/>
  <c r="AN623" i="7"/>
  <c r="AN622" i="7"/>
  <c r="AN621" i="7"/>
  <c r="AN620" i="7"/>
  <c r="AN619" i="7"/>
  <c r="AN618" i="7"/>
  <c r="AN617" i="7"/>
  <c r="AN616" i="7"/>
  <c r="AN615" i="7"/>
  <c r="AN614" i="7"/>
  <c r="AN613" i="7"/>
  <c r="AN612" i="7"/>
  <c r="AN611" i="7"/>
  <c r="AN610" i="7"/>
  <c r="AN609" i="7"/>
  <c r="AN608" i="7"/>
  <c r="AN607" i="7"/>
  <c r="AN606" i="7"/>
  <c r="AN605" i="7"/>
  <c r="AN604" i="7"/>
  <c r="AN603" i="7"/>
  <c r="AN602" i="7"/>
  <c r="AN601" i="7"/>
  <c r="AN600" i="7"/>
  <c r="AN599" i="7"/>
  <c r="AN598" i="7"/>
  <c r="AN597" i="7"/>
  <c r="AN596" i="7"/>
  <c r="AN595" i="7"/>
  <c r="AN594" i="7"/>
  <c r="AN593" i="7"/>
  <c r="AN592" i="7"/>
  <c r="AN591" i="7"/>
  <c r="AN590" i="7"/>
  <c r="AN589" i="7"/>
  <c r="AN588" i="7"/>
  <c r="AN587" i="7"/>
  <c r="AN586" i="7"/>
  <c r="AN585" i="7"/>
  <c r="AN584" i="7"/>
  <c r="AN583" i="7"/>
  <c r="AN582" i="7"/>
  <c r="AN581" i="7"/>
  <c r="AN580" i="7"/>
  <c r="AN579" i="7"/>
  <c r="AN578" i="7"/>
  <c r="AN577" i="7"/>
  <c r="AN576" i="7"/>
  <c r="AN575" i="7"/>
  <c r="AN574" i="7"/>
  <c r="AN573" i="7"/>
  <c r="AN572" i="7"/>
  <c r="AN571" i="7"/>
  <c r="AN570" i="7"/>
  <c r="AN569" i="7"/>
  <c r="AN568" i="7"/>
  <c r="AN567" i="7"/>
  <c r="AN566" i="7"/>
  <c r="AN565" i="7"/>
  <c r="AN564" i="7"/>
  <c r="AN563" i="7"/>
  <c r="AN562" i="7"/>
  <c r="AN561" i="7"/>
  <c r="AN560" i="7"/>
  <c r="AN559" i="7"/>
  <c r="AN558" i="7"/>
  <c r="AN557" i="7"/>
  <c r="AN556" i="7"/>
  <c r="AN555" i="7"/>
  <c r="AN554" i="7"/>
  <c r="AN553" i="7"/>
  <c r="AN552" i="7"/>
  <c r="AN551" i="7"/>
  <c r="AN550" i="7"/>
  <c r="AN549" i="7"/>
  <c r="AN548" i="7"/>
  <c r="AN547" i="7"/>
  <c r="AN546" i="7"/>
  <c r="AN545" i="7"/>
  <c r="AN544" i="7"/>
  <c r="AN543" i="7"/>
  <c r="AN542" i="7"/>
  <c r="AN541" i="7"/>
  <c r="AN540" i="7"/>
  <c r="AN539" i="7"/>
  <c r="AN538" i="7"/>
  <c r="AN537" i="7"/>
  <c r="AN536" i="7"/>
  <c r="AN535" i="7"/>
  <c r="AN534" i="7"/>
  <c r="AN533" i="7"/>
  <c r="AN532" i="7"/>
  <c r="AN531" i="7"/>
  <c r="AN530" i="7"/>
  <c r="AN529" i="7"/>
  <c r="AN528" i="7"/>
  <c r="AN527" i="7"/>
  <c r="AN526" i="7"/>
  <c r="AN525" i="7"/>
  <c r="AN524" i="7"/>
  <c r="AN523" i="7"/>
  <c r="AN522" i="7"/>
  <c r="AN521" i="7"/>
  <c r="AN520" i="7"/>
  <c r="AN519" i="7"/>
  <c r="AN518" i="7"/>
  <c r="AN517" i="7"/>
  <c r="AN516" i="7"/>
  <c r="AN515" i="7"/>
  <c r="AN514" i="7"/>
  <c r="AN513" i="7"/>
  <c r="AN512" i="7"/>
  <c r="AN511" i="7"/>
  <c r="AN510" i="7"/>
  <c r="AN509" i="7"/>
  <c r="AN508" i="7"/>
  <c r="AN507" i="7"/>
  <c r="AN506" i="7"/>
  <c r="AN505" i="7"/>
  <c r="AN504" i="7"/>
  <c r="AN503" i="7"/>
  <c r="AN502" i="7"/>
  <c r="AN501" i="7"/>
  <c r="AN500" i="7"/>
  <c r="AN499" i="7"/>
  <c r="AN498" i="7"/>
  <c r="AN497" i="7"/>
  <c r="AN496" i="7"/>
  <c r="AN495" i="7"/>
  <c r="AN494" i="7"/>
  <c r="AN493" i="7"/>
  <c r="AN492" i="7"/>
  <c r="AN491" i="7"/>
  <c r="AN490" i="7"/>
  <c r="AN489" i="7"/>
  <c r="AN488" i="7"/>
  <c r="AN487" i="7"/>
  <c r="AN486" i="7"/>
  <c r="AN485" i="7"/>
  <c r="AN484" i="7"/>
  <c r="AN483" i="7"/>
  <c r="AN482" i="7"/>
  <c r="AN481" i="7"/>
  <c r="AN480" i="7"/>
  <c r="AN479" i="7"/>
  <c r="AN478" i="7"/>
  <c r="AN477" i="7"/>
  <c r="AN476" i="7"/>
  <c r="AN475" i="7"/>
  <c r="AN474" i="7"/>
  <c r="AN473" i="7"/>
  <c r="AN472" i="7"/>
  <c r="AN471" i="7"/>
  <c r="AN470" i="7"/>
  <c r="AN469" i="7"/>
  <c r="AN468" i="7"/>
  <c r="AN467" i="7"/>
  <c r="AN466" i="7"/>
  <c r="AN465" i="7"/>
  <c r="AN464" i="7"/>
  <c r="AN463" i="7"/>
  <c r="AN462" i="7"/>
  <c r="AN461" i="7"/>
  <c r="AN460" i="7"/>
  <c r="AN459" i="7"/>
  <c r="AN458" i="7"/>
  <c r="AN457" i="7"/>
  <c r="AN456" i="7"/>
  <c r="AN455" i="7"/>
  <c r="AN454" i="7"/>
  <c r="AN453" i="7"/>
  <c r="AN452" i="7"/>
  <c r="AN451" i="7"/>
  <c r="AN450" i="7"/>
  <c r="AN449" i="7"/>
  <c r="AN448" i="7"/>
  <c r="AN447" i="7"/>
  <c r="AN446" i="7"/>
  <c r="AN445" i="7"/>
  <c r="AN444" i="7"/>
  <c r="AN443" i="7"/>
  <c r="AN442" i="7"/>
  <c r="AN441" i="7"/>
  <c r="AN440" i="7"/>
  <c r="AN439" i="7"/>
  <c r="AN438" i="7"/>
  <c r="AN437" i="7"/>
  <c r="AN436" i="7"/>
  <c r="AN435" i="7"/>
  <c r="AN434" i="7"/>
  <c r="AN433" i="7"/>
  <c r="AN432" i="7"/>
  <c r="AN431" i="7"/>
  <c r="AN430" i="7"/>
  <c r="AN429" i="7"/>
  <c r="AN428" i="7"/>
  <c r="AN427" i="7"/>
  <c r="AN426" i="7"/>
  <c r="AN425" i="7"/>
  <c r="AN424" i="7"/>
  <c r="AN423" i="7"/>
  <c r="AN422" i="7"/>
  <c r="AN421" i="7"/>
  <c r="AN420" i="7"/>
  <c r="AN419" i="7"/>
  <c r="AN418" i="7"/>
  <c r="AN417" i="7"/>
  <c r="AN416" i="7"/>
  <c r="AN415" i="7"/>
  <c r="AN414" i="7"/>
  <c r="AN413" i="7"/>
  <c r="AN412" i="7"/>
  <c r="AN411" i="7"/>
  <c r="AN410" i="7"/>
  <c r="AN409" i="7"/>
  <c r="AN408" i="7"/>
  <c r="AN407" i="7"/>
  <c r="AN406" i="7"/>
  <c r="AN405" i="7"/>
  <c r="AN404" i="7"/>
  <c r="AN403" i="7"/>
  <c r="AN402" i="7"/>
  <c r="AN401" i="7"/>
  <c r="AN400" i="7"/>
  <c r="AN399" i="7"/>
  <c r="AN398" i="7"/>
  <c r="AN397" i="7"/>
  <c r="AN396" i="7"/>
  <c r="AN395" i="7"/>
  <c r="AN394" i="7"/>
  <c r="AN393" i="7"/>
  <c r="AN392" i="7"/>
  <c r="AN391" i="7"/>
  <c r="AN390" i="7"/>
  <c r="AN389" i="7"/>
  <c r="AN388" i="7"/>
  <c r="AN387" i="7"/>
  <c r="AN386" i="7"/>
  <c r="AN385" i="7"/>
  <c r="AN384" i="7"/>
  <c r="AN383" i="7"/>
  <c r="AN382" i="7"/>
  <c r="AN381" i="7"/>
  <c r="AN380" i="7"/>
  <c r="AN379" i="7"/>
  <c r="AN378" i="7"/>
  <c r="AN377" i="7"/>
  <c r="AN376" i="7"/>
  <c r="AN375" i="7"/>
  <c r="AN374" i="7"/>
  <c r="AN373" i="7"/>
  <c r="AN372" i="7"/>
  <c r="AN371" i="7"/>
  <c r="AN370" i="7"/>
  <c r="AN369" i="7"/>
  <c r="AN368" i="7"/>
  <c r="AN367" i="7"/>
  <c r="AN366" i="7"/>
  <c r="AN365" i="7"/>
  <c r="AN364" i="7"/>
  <c r="AN363" i="7"/>
  <c r="AN362" i="7"/>
  <c r="AN361" i="7"/>
  <c r="AN360" i="7"/>
  <c r="AN359" i="7"/>
  <c r="AN358" i="7"/>
  <c r="AN357" i="7"/>
  <c r="AN356" i="7"/>
  <c r="AN355" i="7"/>
  <c r="AN354" i="7"/>
  <c r="AN353" i="7"/>
  <c r="AN352" i="7"/>
  <c r="AN351" i="7"/>
  <c r="AN350" i="7"/>
  <c r="AN349" i="7"/>
  <c r="AN348" i="7"/>
  <c r="AN347" i="7"/>
  <c r="AN346" i="7"/>
  <c r="AN345" i="7"/>
  <c r="AN344" i="7"/>
  <c r="AN343" i="7"/>
  <c r="AN342" i="7"/>
  <c r="AN341" i="7"/>
  <c r="AN340" i="7"/>
  <c r="AN339" i="7"/>
  <c r="AN338" i="7"/>
  <c r="AN337" i="7"/>
  <c r="AN336" i="7"/>
  <c r="AN335" i="7"/>
  <c r="AN334" i="7"/>
  <c r="AN333" i="7"/>
  <c r="AN332" i="7"/>
  <c r="AN331" i="7"/>
  <c r="AN330" i="7"/>
  <c r="AN329" i="7"/>
  <c r="AN328" i="7"/>
  <c r="AN327" i="7"/>
  <c r="AN326" i="7"/>
  <c r="AN325" i="7"/>
  <c r="AN324" i="7"/>
  <c r="AN323" i="7"/>
  <c r="AN322" i="7"/>
  <c r="AN321" i="7"/>
  <c r="AN320" i="7"/>
  <c r="AN319" i="7"/>
  <c r="AN318" i="7"/>
  <c r="AN317" i="7"/>
  <c r="AN316" i="7"/>
  <c r="AN315" i="7"/>
  <c r="AN314" i="7"/>
  <c r="AN313" i="7"/>
  <c r="AN312" i="7"/>
  <c r="AN311" i="7"/>
  <c r="AN310" i="7"/>
  <c r="AN309" i="7"/>
  <c r="AN308" i="7"/>
  <c r="AN307" i="7"/>
  <c r="AN306" i="7"/>
  <c r="AN305" i="7"/>
  <c r="AN304" i="7"/>
  <c r="AN303" i="7"/>
  <c r="AN302" i="7"/>
  <c r="AN301" i="7"/>
  <c r="AN300" i="7"/>
  <c r="AN299" i="7"/>
  <c r="AN298" i="7"/>
  <c r="AN297" i="7"/>
  <c r="AN296" i="7"/>
  <c r="AN295" i="7"/>
  <c r="AN294" i="7"/>
  <c r="AN293" i="7"/>
  <c r="AN292" i="7"/>
  <c r="AN291" i="7"/>
  <c r="AN290" i="7"/>
  <c r="AN289" i="7"/>
  <c r="AN288" i="7"/>
  <c r="AN287" i="7"/>
  <c r="AN286" i="7"/>
  <c r="AN285" i="7"/>
  <c r="AN284" i="7"/>
  <c r="AN283" i="7"/>
  <c r="AN282" i="7"/>
  <c r="AN281" i="7"/>
  <c r="AN280" i="7"/>
  <c r="AN279" i="7"/>
  <c r="AN278" i="7"/>
  <c r="AN277" i="7"/>
  <c r="AN276" i="7"/>
  <c r="AN275" i="7"/>
  <c r="AN274" i="7"/>
  <c r="AN273" i="7"/>
  <c r="AN272" i="7"/>
  <c r="AN271" i="7"/>
  <c r="AN270" i="7"/>
  <c r="AN269" i="7"/>
  <c r="AN268" i="7"/>
  <c r="AN267" i="7"/>
  <c r="AN266" i="7"/>
  <c r="AN265" i="7"/>
  <c r="AN264" i="7"/>
  <c r="AN263" i="7"/>
  <c r="AN262" i="7"/>
  <c r="AN261" i="7"/>
  <c r="AN260" i="7"/>
  <c r="AN259" i="7"/>
  <c r="AN258" i="7"/>
  <c r="AN257" i="7"/>
  <c r="AN256" i="7"/>
  <c r="AN255" i="7"/>
  <c r="AN254" i="7"/>
  <c r="AN253" i="7"/>
  <c r="AN252" i="7"/>
  <c r="AN251" i="7"/>
  <c r="AN250" i="7"/>
  <c r="AN249" i="7"/>
  <c r="AN248" i="7"/>
  <c r="AN247" i="7"/>
  <c r="AN246" i="7"/>
  <c r="AN245" i="7"/>
  <c r="AN244" i="7"/>
  <c r="AN243" i="7"/>
  <c r="AN242" i="7"/>
  <c r="AN241" i="7"/>
  <c r="AN240" i="7"/>
  <c r="AN239" i="7"/>
  <c r="AN238" i="7"/>
  <c r="AN237" i="7"/>
  <c r="AN236" i="7"/>
  <c r="AN235" i="7"/>
  <c r="AN234" i="7"/>
  <c r="AN233" i="7"/>
  <c r="AN232" i="7"/>
  <c r="AN231" i="7"/>
  <c r="AN230" i="7"/>
  <c r="AN229" i="7"/>
  <c r="AN228" i="7"/>
  <c r="AN227" i="7"/>
  <c r="AN226" i="7"/>
  <c r="AN225" i="7"/>
  <c r="AN224" i="7"/>
  <c r="AN223" i="7"/>
  <c r="AN222" i="7"/>
  <c r="AN221" i="7"/>
  <c r="AN220" i="7"/>
  <c r="AN219" i="7"/>
  <c r="AN218" i="7"/>
  <c r="AN217" i="7"/>
  <c r="AN216" i="7"/>
  <c r="AN215" i="7"/>
  <c r="AN214" i="7"/>
  <c r="AN213" i="7"/>
  <c r="AN212" i="7"/>
  <c r="AN211" i="7"/>
  <c r="AN210" i="7"/>
  <c r="AN209" i="7"/>
  <c r="AN208" i="7"/>
  <c r="AN207" i="7"/>
  <c r="AN206" i="7"/>
  <c r="AN205" i="7"/>
  <c r="AN204" i="7"/>
  <c r="AN203" i="7"/>
  <c r="AN202" i="7"/>
  <c r="AN201" i="7"/>
  <c r="AN200" i="7"/>
  <c r="AN199" i="7"/>
  <c r="AN198" i="7"/>
  <c r="AN197" i="7"/>
  <c r="AN196" i="7"/>
  <c r="AN195" i="7"/>
  <c r="AN194" i="7"/>
  <c r="AN193" i="7"/>
  <c r="AN192" i="7"/>
  <c r="AN191" i="7"/>
  <c r="AN190" i="7"/>
  <c r="AN189" i="7"/>
  <c r="AN188" i="7"/>
  <c r="AN187" i="7"/>
  <c r="AN186" i="7"/>
  <c r="AN185" i="7"/>
  <c r="AN184" i="7"/>
  <c r="AN183" i="7"/>
  <c r="AN182" i="7"/>
  <c r="AN181" i="7"/>
  <c r="AN180" i="7"/>
  <c r="AN179" i="7"/>
  <c r="AN178" i="7"/>
  <c r="AN177" i="7"/>
  <c r="AN176" i="7"/>
  <c r="AN175" i="7"/>
  <c r="AN174" i="7"/>
  <c r="AN173" i="7"/>
  <c r="AN172" i="7"/>
  <c r="AN171" i="7"/>
  <c r="AN170" i="7"/>
  <c r="AN169" i="7"/>
  <c r="AN168" i="7"/>
  <c r="AN167" i="7"/>
  <c r="AN166" i="7"/>
  <c r="AN165" i="7"/>
  <c r="AN164" i="7"/>
  <c r="AN163" i="7"/>
  <c r="AN162" i="7"/>
  <c r="AN161" i="7"/>
  <c r="AN160" i="7"/>
  <c r="AN159" i="7"/>
  <c r="AN158" i="7"/>
  <c r="AN157" i="7"/>
  <c r="AN156" i="7"/>
  <c r="AN155" i="7"/>
  <c r="AN154" i="7"/>
  <c r="AN153" i="7"/>
  <c r="AN152" i="7"/>
  <c r="AN151" i="7"/>
  <c r="AN150" i="7"/>
  <c r="AN149" i="7"/>
  <c r="AN148" i="7"/>
  <c r="AN147" i="7"/>
  <c r="AN146" i="7"/>
  <c r="AN145" i="7"/>
  <c r="AN144" i="7"/>
  <c r="AN143" i="7"/>
  <c r="AN142" i="7"/>
  <c r="AN141" i="7"/>
  <c r="AN140" i="7"/>
  <c r="AN139" i="7"/>
  <c r="AN138" i="7"/>
  <c r="AN137" i="7"/>
  <c r="AN136" i="7"/>
  <c r="AN135" i="7"/>
  <c r="AN134" i="7"/>
  <c r="AN133" i="7"/>
  <c r="AN132" i="7"/>
  <c r="AN131" i="7"/>
  <c r="AN130" i="7"/>
  <c r="AN129" i="7"/>
  <c r="AN128" i="7"/>
  <c r="AN127" i="7"/>
  <c r="AN126" i="7"/>
  <c r="AN125" i="7"/>
  <c r="AN124" i="7"/>
  <c r="AN123" i="7"/>
  <c r="AN122" i="7"/>
  <c r="AN121" i="7"/>
  <c r="AN120" i="7"/>
  <c r="AN119" i="7"/>
  <c r="AN118" i="7"/>
  <c r="AN117" i="7"/>
  <c r="AN116" i="7"/>
  <c r="AN115" i="7"/>
  <c r="AN114" i="7"/>
  <c r="AN113" i="7"/>
  <c r="AN112" i="7"/>
  <c r="AN111" i="7"/>
  <c r="AN110" i="7"/>
  <c r="AN109" i="7"/>
  <c r="AN108" i="7"/>
  <c r="AN107" i="7"/>
  <c r="AN106" i="7"/>
  <c r="AN105" i="7"/>
  <c r="AN104" i="7"/>
  <c r="AN103" i="7"/>
  <c r="AN102" i="7"/>
  <c r="AN101" i="7"/>
  <c r="AN100" i="7"/>
  <c r="AN99" i="7"/>
  <c r="AN98" i="7"/>
  <c r="AN97" i="7"/>
  <c r="AN96" i="7"/>
  <c r="AN95" i="7"/>
  <c r="AN94" i="7"/>
  <c r="AN93" i="7"/>
  <c r="AN92" i="7"/>
  <c r="AN91" i="7"/>
  <c r="AN90" i="7"/>
  <c r="AN89" i="7"/>
  <c r="AN88" i="7"/>
  <c r="AN87" i="7"/>
  <c r="AN86" i="7"/>
  <c r="AN85" i="7"/>
  <c r="AN84" i="7"/>
  <c r="AN83" i="7"/>
  <c r="AN82" i="7"/>
  <c r="AN81" i="7"/>
  <c r="AN80" i="7"/>
  <c r="AN79" i="7"/>
  <c r="AN78" i="7"/>
  <c r="AN77" i="7"/>
  <c r="AN76" i="7"/>
  <c r="AN75" i="7"/>
  <c r="AN74" i="7"/>
  <c r="AN73" i="7"/>
  <c r="AN72" i="7"/>
  <c r="AN71" i="7"/>
  <c r="AN70" i="7"/>
  <c r="AN69" i="7"/>
  <c r="AN68" i="7"/>
  <c r="AN67" i="7"/>
  <c r="AN66" i="7"/>
  <c r="AN65" i="7"/>
  <c r="AN64" i="7"/>
  <c r="AN63" i="7"/>
  <c r="AN62" i="7"/>
  <c r="AN61" i="7"/>
  <c r="AN60" i="7"/>
  <c r="AN59" i="7"/>
  <c r="AN58" i="7"/>
  <c r="AN57" i="7"/>
  <c r="AN56" i="7"/>
  <c r="AN55" i="7"/>
  <c r="AN54" i="7"/>
  <c r="AN53" i="7"/>
  <c r="AN52" i="7"/>
  <c r="AN51" i="7"/>
  <c r="AN50" i="7"/>
  <c r="AN49" i="7"/>
  <c r="AN48" i="7"/>
  <c r="AF45" i="7" s="1"/>
  <c r="AN47" i="7"/>
  <c r="W999" i="7"/>
  <c r="W998" i="7"/>
  <c r="W997" i="7"/>
  <c r="W996" i="7"/>
  <c r="W995" i="7"/>
  <c r="W994" i="7"/>
  <c r="W993" i="7"/>
  <c r="W992" i="7"/>
  <c r="W991" i="7"/>
  <c r="W990" i="7"/>
  <c r="W989" i="7"/>
  <c r="W988" i="7"/>
  <c r="W987" i="7"/>
  <c r="W986" i="7"/>
  <c r="W985" i="7"/>
  <c r="W984" i="7"/>
  <c r="W983" i="7"/>
  <c r="W982" i="7"/>
  <c r="W981" i="7"/>
  <c r="W980" i="7"/>
  <c r="W979" i="7"/>
  <c r="W978" i="7"/>
  <c r="W977" i="7"/>
  <c r="W976" i="7"/>
  <c r="W975" i="7"/>
  <c r="W974" i="7"/>
  <c r="W973" i="7"/>
  <c r="W972" i="7"/>
  <c r="W971" i="7"/>
  <c r="W970" i="7"/>
  <c r="W969" i="7"/>
  <c r="W968" i="7"/>
  <c r="W967" i="7"/>
  <c r="W966" i="7"/>
  <c r="W965" i="7"/>
  <c r="W964" i="7"/>
  <c r="W963" i="7"/>
  <c r="W962" i="7"/>
  <c r="W961" i="7"/>
  <c r="W960" i="7"/>
  <c r="W959" i="7"/>
  <c r="W958" i="7"/>
  <c r="W957" i="7"/>
  <c r="W956" i="7"/>
  <c r="W955" i="7"/>
  <c r="W954" i="7"/>
  <c r="W953" i="7"/>
  <c r="W952" i="7"/>
  <c r="W951" i="7"/>
  <c r="W950" i="7"/>
  <c r="W949" i="7"/>
  <c r="W948" i="7"/>
  <c r="W947" i="7"/>
  <c r="W946" i="7"/>
  <c r="W945" i="7"/>
  <c r="W944" i="7"/>
  <c r="W943" i="7"/>
  <c r="W942" i="7"/>
  <c r="W941" i="7"/>
  <c r="W940" i="7"/>
  <c r="W939" i="7"/>
  <c r="W938" i="7"/>
  <c r="W937" i="7"/>
  <c r="W936" i="7"/>
  <c r="W935" i="7"/>
  <c r="W934" i="7"/>
  <c r="W933" i="7"/>
  <c r="W932" i="7"/>
  <c r="W931" i="7"/>
  <c r="W930" i="7"/>
  <c r="W929" i="7"/>
  <c r="W928" i="7"/>
  <c r="W927" i="7"/>
  <c r="W926" i="7"/>
  <c r="W925" i="7"/>
  <c r="W924" i="7"/>
  <c r="W923" i="7"/>
  <c r="W922" i="7"/>
  <c r="W921" i="7"/>
  <c r="W920" i="7"/>
  <c r="W919" i="7"/>
  <c r="W918" i="7"/>
  <c r="W917" i="7"/>
  <c r="W916" i="7"/>
  <c r="W915" i="7"/>
  <c r="W914" i="7"/>
  <c r="W913" i="7"/>
  <c r="W912" i="7"/>
  <c r="W911" i="7"/>
  <c r="W910" i="7"/>
  <c r="W909" i="7"/>
  <c r="W908" i="7"/>
  <c r="W907" i="7"/>
  <c r="W906" i="7"/>
  <c r="W905" i="7"/>
  <c r="W904" i="7"/>
  <c r="W903" i="7"/>
  <c r="W902" i="7"/>
  <c r="W901" i="7"/>
  <c r="W900" i="7"/>
  <c r="W899" i="7"/>
  <c r="W898" i="7"/>
  <c r="W897" i="7"/>
  <c r="W896" i="7"/>
  <c r="W895" i="7"/>
  <c r="W894" i="7"/>
  <c r="W893" i="7"/>
  <c r="W892" i="7"/>
  <c r="W891" i="7"/>
  <c r="W890" i="7"/>
  <c r="W889" i="7"/>
  <c r="W888" i="7"/>
  <c r="W887" i="7"/>
  <c r="W886" i="7"/>
  <c r="W885" i="7"/>
  <c r="W884" i="7"/>
  <c r="W883" i="7"/>
  <c r="W882" i="7"/>
  <c r="W881" i="7"/>
  <c r="W880" i="7"/>
  <c r="W879" i="7"/>
  <c r="W878" i="7"/>
  <c r="W877" i="7"/>
  <c r="W876" i="7"/>
  <c r="W875" i="7"/>
  <c r="W874" i="7"/>
  <c r="W873" i="7"/>
  <c r="W872" i="7"/>
  <c r="W871" i="7"/>
  <c r="W870" i="7"/>
  <c r="W869" i="7"/>
  <c r="W868" i="7"/>
  <c r="W867" i="7"/>
  <c r="W866" i="7"/>
  <c r="W865" i="7"/>
  <c r="W864" i="7"/>
  <c r="W863" i="7"/>
  <c r="W862" i="7"/>
  <c r="W861" i="7"/>
  <c r="W860" i="7"/>
  <c r="W859" i="7"/>
  <c r="W858" i="7"/>
  <c r="W857" i="7"/>
  <c r="W856" i="7"/>
  <c r="W855" i="7"/>
  <c r="W854" i="7"/>
  <c r="W853" i="7"/>
  <c r="W852" i="7"/>
  <c r="W851" i="7"/>
  <c r="W850" i="7"/>
  <c r="W849" i="7"/>
  <c r="W848" i="7"/>
  <c r="W847" i="7"/>
  <c r="W846" i="7"/>
  <c r="W845" i="7"/>
  <c r="W844" i="7"/>
  <c r="W843" i="7"/>
  <c r="W842" i="7"/>
  <c r="W841" i="7"/>
  <c r="W840" i="7"/>
  <c r="W839" i="7"/>
  <c r="W838" i="7"/>
  <c r="W837" i="7"/>
  <c r="W836" i="7"/>
  <c r="W835" i="7"/>
  <c r="W834" i="7"/>
  <c r="W833" i="7"/>
  <c r="W832" i="7"/>
  <c r="W831" i="7"/>
  <c r="W830" i="7"/>
  <c r="W829" i="7"/>
  <c r="W828" i="7"/>
  <c r="W827" i="7"/>
  <c r="W826" i="7"/>
  <c r="W825" i="7"/>
  <c r="W824" i="7"/>
  <c r="W823" i="7"/>
  <c r="W822" i="7"/>
  <c r="W821" i="7"/>
  <c r="W820" i="7"/>
  <c r="W819" i="7"/>
  <c r="W818" i="7"/>
  <c r="W817" i="7"/>
  <c r="W816" i="7"/>
  <c r="W815" i="7"/>
  <c r="W814" i="7"/>
  <c r="W813" i="7"/>
  <c r="W812" i="7"/>
  <c r="W811" i="7"/>
  <c r="W810" i="7"/>
  <c r="W809" i="7"/>
  <c r="W808" i="7"/>
  <c r="W807" i="7"/>
  <c r="W806" i="7"/>
  <c r="W805" i="7"/>
  <c r="W804" i="7"/>
  <c r="W803" i="7"/>
  <c r="W802" i="7"/>
  <c r="W801" i="7"/>
  <c r="W800" i="7"/>
  <c r="W799" i="7"/>
  <c r="W798" i="7"/>
  <c r="W797" i="7"/>
  <c r="W796" i="7"/>
  <c r="W795" i="7"/>
  <c r="W794" i="7"/>
  <c r="W793" i="7"/>
  <c r="W792" i="7"/>
  <c r="W791" i="7"/>
  <c r="W790" i="7"/>
  <c r="W789" i="7"/>
  <c r="W788" i="7"/>
  <c r="W787" i="7"/>
  <c r="W786" i="7"/>
  <c r="W785" i="7"/>
  <c r="W784" i="7"/>
  <c r="W783" i="7"/>
  <c r="W782" i="7"/>
  <c r="W781" i="7"/>
  <c r="W780" i="7"/>
  <c r="W779" i="7"/>
  <c r="W778" i="7"/>
  <c r="W777" i="7"/>
  <c r="W776" i="7"/>
  <c r="W775" i="7"/>
  <c r="W774" i="7"/>
  <c r="W773" i="7"/>
  <c r="W772" i="7"/>
  <c r="W771" i="7"/>
  <c r="W770" i="7"/>
  <c r="W769" i="7"/>
  <c r="W768" i="7"/>
  <c r="W767" i="7"/>
  <c r="W766" i="7"/>
  <c r="W765" i="7"/>
  <c r="W764" i="7"/>
  <c r="W763" i="7"/>
  <c r="W762" i="7"/>
  <c r="W761" i="7"/>
  <c r="W760" i="7"/>
  <c r="W759" i="7"/>
  <c r="W758" i="7"/>
  <c r="W757" i="7"/>
  <c r="W756" i="7"/>
  <c r="W755" i="7"/>
  <c r="W754" i="7"/>
  <c r="W753" i="7"/>
  <c r="W752" i="7"/>
  <c r="W751" i="7"/>
  <c r="W750" i="7"/>
  <c r="W749" i="7"/>
  <c r="W748" i="7"/>
  <c r="W747" i="7"/>
  <c r="W746" i="7"/>
  <c r="W745" i="7"/>
  <c r="W744" i="7"/>
  <c r="W743" i="7"/>
  <c r="W742" i="7"/>
  <c r="W741" i="7"/>
  <c r="W740" i="7"/>
  <c r="W739" i="7"/>
  <c r="W738" i="7"/>
  <c r="W737" i="7"/>
  <c r="W736" i="7"/>
  <c r="W735" i="7"/>
  <c r="W734" i="7"/>
  <c r="W733" i="7"/>
  <c r="W732" i="7"/>
  <c r="W731" i="7"/>
  <c r="W730" i="7"/>
  <c r="W729" i="7"/>
  <c r="W728" i="7"/>
  <c r="W727" i="7"/>
  <c r="W726" i="7"/>
  <c r="W725" i="7"/>
  <c r="W724" i="7"/>
  <c r="W723" i="7"/>
  <c r="W722" i="7"/>
  <c r="W721" i="7"/>
  <c r="W720" i="7"/>
  <c r="W719" i="7"/>
  <c r="W718" i="7"/>
  <c r="W717" i="7"/>
  <c r="W716" i="7"/>
  <c r="W715" i="7"/>
  <c r="W714" i="7"/>
  <c r="W713" i="7"/>
  <c r="W712" i="7"/>
  <c r="W711" i="7"/>
  <c r="W710" i="7"/>
  <c r="W709" i="7"/>
  <c r="W708" i="7"/>
  <c r="W707" i="7"/>
  <c r="W706" i="7"/>
  <c r="W705" i="7"/>
  <c r="W704" i="7"/>
  <c r="W703" i="7"/>
  <c r="W702" i="7"/>
  <c r="W701" i="7"/>
  <c r="W700" i="7"/>
  <c r="W699" i="7"/>
  <c r="W698" i="7"/>
  <c r="W697" i="7"/>
  <c r="W696" i="7"/>
  <c r="W695" i="7"/>
  <c r="W694" i="7"/>
  <c r="W693" i="7"/>
  <c r="W692" i="7"/>
  <c r="W691" i="7"/>
  <c r="W690" i="7"/>
  <c r="W689" i="7"/>
  <c r="W688" i="7"/>
  <c r="W687" i="7"/>
  <c r="W686" i="7"/>
  <c r="W685" i="7"/>
  <c r="W684" i="7"/>
  <c r="W683" i="7"/>
  <c r="W682" i="7"/>
  <c r="W681" i="7"/>
  <c r="W680" i="7"/>
  <c r="W679" i="7"/>
  <c r="W678" i="7"/>
  <c r="W677" i="7"/>
  <c r="W676" i="7"/>
  <c r="W675" i="7"/>
  <c r="W674" i="7"/>
  <c r="W673" i="7"/>
  <c r="W672" i="7"/>
  <c r="W671" i="7"/>
  <c r="W670" i="7"/>
  <c r="W669" i="7"/>
  <c r="W668" i="7"/>
  <c r="W667" i="7"/>
  <c r="W666" i="7"/>
  <c r="W665" i="7"/>
  <c r="W664" i="7"/>
  <c r="W663" i="7"/>
  <c r="W662" i="7"/>
  <c r="W661" i="7"/>
  <c r="W660" i="7"/>
  <c r="W659" i="7"/>
  <c r="W658" i="7"/>
  <c r="W657" i="7"/>
  <c r="W656" i="7"/>
  <c r="W655" i="7"/>
  <c r="W654" i="7"/>
  <c r="W653" i="7"/>
  <c r="W652" i="7"/>
  <c r="W651" i="7"/>
  <c r="W650" i="7"/>
  <c r="W649" i="7"/>
  <c r="W648" i="7"/>
  <c r="W647" i="7"/>
  <c r="W646" i="7"/>
  <c r="W645" i="7"/>
  <c r="W644" i="7"/>
  <c r="W643" i="7"/>
  <c r="W642" i="7"/>
  <c r="W641" i="7"/>
  <c r="W640" i="7"/>
  <c r="W639" i="7"/>
  <c r="W638" i="7"/>
  <c r="W637" i="7"/>
  <c r="W636" i="7"/>
  <c r="W635" i="7"/>
  <c r="W634" i="7"/>
  <c r="W633" i="7"/>
  <c r="W632" i="7"/>
  <c r="W631" i="7"/>
  <c r="W630" i="7"/>
  <c r="W629" i="7"/>
  <c r="W628" i="7"/>
  <c r="W627" i="7"/>
  <c r="W626" i="7"/>
  <c r="W625" i="7"/>
  <c r="W624" i="7"/>
  <c r="W623" i="7"/>
  <c r="W622" i="7"/>
  <c r="W621" i="7"/>
  <c r="W620" i="7"/>
  <c r="W619" i="7"/>
  <c r="W618" i="7"/>
  <c r="W617" i="7"/>
  <c r="W616" i="7"/>
  <c r="W615" i="7"/>
  <c r="W614" i="7"/>
  <c r="W613" i="7"/>
  <c r="W612" i="7"/>
  <c r="W611" i="7"/>
  <c r="W610" i="7"/>
  <c r="W609" i="7"/>
  <c r="W608" i="7"/>
  <c r="W607" i="7"/>
  <c r="W606" i="7"/>
  <c r="W605" i="7"/>
  <c r="W604" i="7"/>
  <c r="W603" i="7"/>
  <c r="W602" i="7"/>
  <c r="W601" i="7"/>
  <c r="W600" i="7"/>
  <c r="W599" i="7"/>
  <c r="W598" i="7"/>
  <c r="W597" i="7"/>
  <c r="W596" i="7"/>
  <c r="W595" i="7"/>
  <c r="W594" i="7"/>
  <c r="W593" i="7"/>
  <c r="W592" i="7"/>
  <c r="W591" i="7"/>
  <c r="W590" i="7"/>
  <c r="W589" i="7"/>
  <c r="W588" i="7"/>
  <c r="W587" i="7"/>
  <c r="W586" i="7"/>
  <c r="W585" i="7"/>
  <c r="W584" i="7"/>
  <c r="W583" i="7"/>
  <c r="W582" i="7"/>
  <c r="W581" i="7"/>
  <c r="W580" i="7"/>
  <c r="W579" i="7"/>
  <c r="W578" i="7"/>
  <c r="W577" i="7"/>
  <c r="W576" i="7"/>
  <c r="W575" i="7"/>
  <c r="W574" i="7"/>
  <c r="W573" i="7"/>
  <c r="W572" i="7"/>
  <c r="W571" i="7"/>
  <c r="W570" i="7"/>
  <c r="W569" i="7"/>
  <c r="W568" i="7"/>
  <c r="W567" i="7"/>
  <c r="W566" i="7"/>
  <c r="W565" i="7"/>
  <c r="W564" i="7"/>
  <c r="W563" i="7"/>
  <c r="W562" i="7"/>
  <c r="W561" i="7"/>
  <c r="W560" i="7"/>
  <c r="W559" i="7"/>
  <c r="W558" i="7"/>
  <c r="W557" i="7"/>
  <c r="W556" i="7"/>
  <c r="W555" i="7"/>
  <c r="W554" i="7"/>
  <c r="W553" i="7"/>
  <c r="W552" i="7"/>
  <c r="W551" i="7"/>
  <c r="W550" i="7"/>
  <c r="W549" i="7"/>
  <c r="W548" i="7"/>
  <c r="W547" i="7"/>
  <c r="W546" i="7"/>
  <c r="W545" i="7"/>
  <c r="W544" i="7"/>
  <c r="W543" i="7"/>
  <c r="W542" i="7"/>
  <c r="W541" i="7"/>
  <c r="W540" i="7"/>
  <c r="W539" i="7"/>
  <c r="W538" i="7"/>
  <c r="W537" i="7"/>
  <c r="W536" i="7"/>
  <c r="W535" i="7"/>
  <c r="W534" i="7"/>
  <c r="W533" i="7"/>
  <c r="W532" i="7"/>
  <c r="W531" i="7"/>
  <c r="W530" i="7"/>
  <c r="W529" i="7"/>
  <c r="W528" i="7"/>
  <c r="W527" i="7"/>
  <c r="W526" i="7"/>
  <c r="W525" i="7"/>
  <c r="W524" i="7"/>
  <c r="W523" i="7"/>
  <c r="W522" i="7"/>
  <c r="W521" i="7"/>
  <c r="W520" i="7"/>
  <c r="W519" i="7"/>
  <c r="W518" i="7"/>
  <c r="W517" i="7"/>
  <c r="W516" i="7"/>
  <c r="W515" i="7"/>
  <c r="W514" i="7"/>
  <c r="W513" i="7"/>
  <c r="W512" i="7"/>
  <c r="W511" i="7"/>
  <c r="W510" i="7"/>
  <c r="W509" i="7"/>
  <c r="W508" i="7"/>
  <c r="W507" i="7"/>
  <c r="W506" i="7"/>
  <c r="W505" i="7"/>
  <c r="W504" i="7"/>
  <c r="W503" i="7"/>
  <c r="W502" i="7"/>
  <c r="W501" i="7"/>
  <c r="W500" i="7"/>
  <c r="W499" i="7"/>
  <c r="W498" i="7"/>
  <c r="W497" i="7"/>
  <c r="W496" i="7"/>
  <c r="W495" i="7"/>
  <c r="W494" i="7"/>
  <c r="W493" i="7"/>
  <c r="W492" i="7"/>
  <c r="W491" i="7"/>
  <c r="W490" i="7"/>
  <c r="W489" i="7"/>
  <c r="W488" i="7"/>
  <c r="W487" i="7"/>
  <c r="W486" i="7"/>
  <c r="W485" i="7"/>
  <c r="W484" i="7"/>
  <c r="W483" i="7"/>
  <c r="W482" i="7"/>
  <c r="W481" i="7"/>
  <c r="W480" i="7"/>
  <c r="W479" i="7"/>
  <c r="W478" i="7"/>
  <c r="W477" i="7"/>
  <c r="W476" i="7"/>
  <c r="W475" i="7"/>
  <c r="W474" i="7"/>
  <c r="W473" i="7"/>
  <c r="W472" i="7"/>
  <c r="W471" i="7"/>
  <c r="W470" i="7"/>
  <c r="W469" i="7"/>
  <c r="W468" i="7"/>
  <c r="W467" i="7"/>
  <c r="W466" i="7"/>
  <c r="W465" i="7"/>
  <c r="W464" i="7"/>
  <c r="W463" i="7"/>
  <c r="W462" i="7"/>
  <c r="W461" i="7"/>
  <c r="W460" i="7"/>
  <c r="W459" i="7"/>
  <c r="W458" i="7"/>
  <c r="W457" i="7"/>
  <c r="W456" i="7"/>
  <c r="W455" i="7"/>
  <c r="W454" i="7"/>
  <c r="W453" i="7"/>
  <c r="W452" i="7"/>
  <c r="W451" i="7"/>
  <c r="W450" i="7"/>
  <c r="W449" i="7"/>
  <c r="W448" i="7"/>
  <c r="W447" i="7"/>
  <c r="W446" i="7"/>
  <c r="W445" i="7"/>
  <c r="W444" i="7"/>
  <c r="W443" i="7"/>
  <c r="W442" i="7"/>
  <c r="W441" i="7"/>
  <c r="W440" i="7"/>
  <c r="W439" i="7"/>
  <c r="W438" i="7"/>
  <c r="W437" i="7"/>
  <c r="W436" i="7"/>
  <c r="W435" i="7"/>
  <c r="W434" i="7"/>
  <c r="W433" i="7"/>
  <c r="W432" i="7"/>
  <c r="W431" i="7"/>
  <c r="W430" i="7"/>
  <c r="W429" i="7"/>
  <c r="W428" i="7"/>
  <c r="W427" i="7"/>
  <c r="W426" i="7"/>
  <c r="W425" i="7"/>
  <c r="W424" i="7"/>
  <c r="W423" i="7"/>
  <c r="W422" i="7"/>
  <c r="W421" i="7"/>
  <c r="W420" i="7"/>
  <c r="W419" i="7"/>
  <c r="W418" i="7"/>
  <c r="W417" i="7"/>
  <c r="W416" i="7"/>
  <c r="W415" i="7"/>
  <c r="W414" i="7"/>
  <c r="W413" i="7"/>
  <c r="W412" i="7"/>
  <c r="W411" i="7"/>
  <c r="W410" i="7"/>
  <c r="W409" i="7"/>
  <c r="W408" i="7"/>
  <c r="W407" i="7"/>
  <c r="W406" i="7"/>
  <c r="W405" i="7"/>
  <c r="W404" i="7"/>
  <c r="W403" i="7"/>
  <c r="W402" i="7"/>
  <c r="W401" i="7"/>
  <c r="W400" i="7"/>
  <c r="W399" i="7"/>
  <c r="W398" i="7"/>
  <c r="W397" i="7"/>
  <c r="W396" i="7"/>
  <c r="W395" i="7"/>
  <c r="W394" i="7"/>
  <c r="W393" i="7"/>
  <c r="W392" i="7"/>
  <c r="W391" i="7"/>
  <c r="W390" i="7"/>
  <c r="W389" i="7"/>
  <c r="W388" i="7"/>
  <c r="W387" i="7"/>
  <c r="W386" i="7"/>
  <c r="W385" i="7"/>
  <c r="W384" i="7"/>
  <c r="W383" i="7"/>
  <c r="W382" i="7"/>
  <c r="W381" i="7"/>
  <c r="W380" i="7"/>
  <c r="W379" i="7"/>
  <c r="W378" i="7"/>
  <c r="W377" i="7"/>
  <c r="W376" i="7"/>
  <c r="W375" i="7"/>
  <c r="W374" i="7"/>
  <c r="W373" i="7"/>
  <c r="W372" i="7"/>
  <c r="W371" i="7"/>
  <c r="W370" i="7"/>
  <c r="W369" i="7"/>
  <c r="W368" i="7"/>
  <c r="W367" i="7"/>
  <c r="W366" i="7"/>
  <c r="W365" i="7"/>
  <c r="W364" i="7"/>
  <c r="W363" i="7"/>
  <c r="W362" i="7"/>
  <c r="W361" i="7"/>
  <c r="W360" i="7"/>
  <c r="W359" i="7"/>
  <c r="W358" i="7"/>
  <c r="W357" i="7"/>
  <c r="W356" i="7"/>
  <c r="W355" i="7"/>
  <c r="W354" i="7"/>
  <c r="W353" i="7"/>
  <c r="W352" i="7"/>
  <c r="W351" i="7"/>
  <c r="W350" i="7"/>
  <c r="W349" i="7"/>
  <c r="W348" i="7"/>
  <c r="W347" i="7"/>
  <c r="W346" i="7"/>
  <c r="W345" i="7"/>
  <c r="W344" i="7"/>
  <c r="W343" i="7"/>
  <c r="W342" i="7"/>
  <c r="W341" i="7"/>
  <c r="W340" i="7"/>
  <c r="W339" i="7"/>
  <c r="W338" i="7"/>
  <c r="W337" i="7"/>
  <c r="W336" i="7"/>
  <c r="W335" i="7"/>
  <c r="W334" i="7"/>
  <c r="W333" i="7"/>
  <c r="W332" i="7"/>
  <c r="W331" i="7"/>
  <c r="W330" i="7"/>
  <c r="W329" i="7"/>
  <c r="W328" i="7"/>
  <c r="W327" i="7"/>
  <c r="W326" i="7"/>
  <c r="W325" i="7"/>
  <c r="W324" i="7"/>
  <c r="W323" i="7"/>
  <c r="W322" i="7"/>
  <c r="W321" i="7"/>
  <c r="W320" i="7"/>
  <c r="W319" i="7"/>
  <c r="W318" i="7"/>
  <c r="W317" i="7"/>
  <c r="W316" i="7"/>
  <c r="W315" i="7"/>
  <c r="W314" i="7"/>
  <c r="W313" i="7"/>
  <c r="W312" i="7"/>
  <c r="W311" i="7"/>
  <c r="W310" i="7"/>
  <c r="W309" i="7"/>
  <c r="W308" i="7"/>
  <c r="W307" i="7"/>
  <c r="W306" i="7"/>
  <c r="W305" i="7"/>
  <c r="W304" i="7"/>
  <c r="W303" i="7"/>
  <c r="W302" i="7"/>
  <c r="W301" i="7"/>
  <c r="W300" i="7"/>
  <c r="W299" i="7"/>
  <c r="W298" i="7"/>
  <c r="W297" i="7"/>
  <c r="W296" i="7"/>
  <c r="W295" i="7"/>
  <c r="W294" i="7"/>
  <c r="W293" i="7"/>
  <c r="W292" i="7"/>
  <c r="W291" i="7"/>
  <c r="W290" i="7"/>
  <c r="W289" i="7"/>
  <c r="W288" i="7"/>
  <c r="W287" i="7"/>
  <c r="W286" i="7"/>
  <c r="W285" i="7"/>
  <c r="W284" i="7"/>
  <c r="W283" i="7"/>
  <c r="W282" i="7"/>
  <c r="W281" i="7"/>
  <c r="W280" i="7"/>
  <c r="W279" i="7"/>
  <c r="W278" i="7"/>
  <c r="W277" i="7"/>
  <c r="W276" i="7"/>
  <c r="W275" i="7"/>
  <c r="W274" i="7"/>
  <c r="W273" i="7"/>
  <c r="W272" i="7"/>
  <c r="W271" i="7"/>
  <c r="W270" i="7"/>
  <c r="W269" i="7"/>
  <c r="W268" i="7"/>
  <c r="W267" i="7"/>
  <c r="W266" i="7"/>
  <c r="W265" i="7"/>
  <c r="W264" i="7"/>
  <c r="W263" i="7"/>
  <c r="W262" i="7"/>
  <c r="W261" i="7"/>
  <c r="W260" i="7"/>
  <c r="W259" i="7"/>
  <c r="W258" i="7"/>
  <c r="W257" i="7"/>
  <c r="W256" i="7"/>
  <c r="W255" i="7"/>
  <c r="W254" i="7"/>
  <c r="W253" i="7"/>
  <c r="W252" i="7"/>
  <c r="W251" i="7"/>
  <c r="W250" i="7"/>
  <c r="W249" i="7"/>
  <c r="W248" i="7"/>
  <c r="W247" i="7"/>
  <c r="W246" i="7"/>
  <c r="W245" i="7"/>
  <c r="W244" i="7"/>
  <c r="W243" i="7"/>
  <c r="W242" i="7"/>
  <c r="W241" i="7"/>
  <c r="W240" i="7"/>
  <c r="W239" i="7"/>
  <c r="W238" i="7"/>
  <c r="W237" i="7"/>
  <c r="W236" i="7"/>
  <c r="W235" i="7"/>
  <c r="W234" i="7"/>
  <c r="W233" i="7"/>
  <c r="W232" i="7"/>
  <c r="W231" i="7"/>
  <c r="W230" i="7"/>
  <c r="W229" i="7"/>
  <c r="W228" i="7"/>
  <c r="W227" i="7"/>
  <c r="W226" i="7"/>
  <c r="W225" i="7"/>
  <c r="W224" i="7"/>
  <c r="W223" i="7"/>
  <c r="W222" i="7"/>
  <c r="W221" i="7"/>
  <c r="W220" i="7"/>
  <c r="W219" i="7"/>
  <c r="W218" i="7"/>
  <c r="W217" i="7"/>
  <c r="W216" i="7"/>
  <c r="W215" i="7"/>
  <c r="W214" i="7"/>
  <c r="W213" i="7"/>
  <c r="W212" i="7"/>
  <c r="W211" i="7"/>
  <c r="W210" i="7"/>
  <c r="W209" i="7"/>
  <c r="W208" i="7"/>
  <c r="W207" i="7"/>
  <c r="W206" i="7"/>
  <c r="W205" i="7"/>
  <c r="W204" i="7"/>
  <c r="W203" i="7"/>
  <c r="W202" i="7"/>
  <c r="W201" i="7"/>
  <c r="W200" i="7"/>
  <c r="W199" i="7"/>
  <c r="W198" i="7"/>
  <c r="W197" i="7"/>
  <c r="W196" i="7"/>
  <c r="W195" i="7"/>
  <c r="W194" i="7"/>
  <c r="W193" i="7"/>
  <c r="W192" i="7"/>
  <c r="W191" i="7"/>
  <c r="W190" i="7"/>
  <c r="W189" i="7"/>
  <c r="W188" i="7"/>
  <c r="W187" i="7"/>
  <c r="W186" i="7"/>
  <c r="W185" i="7"/>
  <c r="W184" i="7"/>
  <c r="W183" i="7"/>
  <c r="W182" i="7"/>
  <c r="W181" i="7"/>
  <c r="W180" i="7"/>
  <c r="W179" i="7"/>
  <c r="W178" i="7"/>
  <c r="W177" i="7"/>
  <c r="W176" i="7"/>
  <c r="W175" i="7"/>
  <c r="W174" i="7"/>
  <c r="W173" i="7"/>
  <c r="W172" i="7"/>
  <c r="W171" i="7"/>
  <c r="W170" i="7"/>
  <c r="W169" i="7"/>
  <c r="W168" i="7"/>
  <c r="W167" i="7"/>
  <c r="W166" i="7"/>
  <c r="W165" i="7"/>
  <c r="W164" i="7"/>
  <c r="W163" i="7"/>
  <c r="W162" i="7"/>
  <c r="W161" i="7"/>
  <c r="W160" i="7"/>
  <c r="W159" i="7"/>
  <c r="W158" i="7"/>
  <c r="W157" i="7"/>
  <c r="W156" i="7"/>
  <c r="W155" i="7"/>
  <c r="W154" i="7"/>
  <c r="W153" i="7"/>
  <c r="W152" i="7"/>
  <c r="W151" i="7"/>
  <c r="W150" i="7"/>
  <c r="W149" i="7"/>
  <c r="W148" i="7"/>
  <c r="W147" i="7"/>
  <c r="W146" i="7"/>
  <c r="W145" i="7"/>
  <c r="W144" i="7"/>
  <c r="W143" i="7"/>
  <c r="W142" i="7"/>
  <c r="W141" i="7"/>
  <c r="W140" i="7"/>
  <c r="W139" i="7"/>
  <c r="W138" i="7"/>
  <c r="W137" i="7"/>
  <c r="W136" i="7"/>
  <c r="W135" i="7"/>
  <c r="W134" i="7"/>
  <c r="W133" i="7"/>
  <c r="W132" i="7"/>
  <c r="W131" i="7"/>
  <c r="W130" i="7"/>
  <c r="W129" i="7"/>
  <c r="W128" i="7"/>
  <c r="W127" i="7"/>
  <c r="W126" i="7"/>
  <c r="W125" i="7"/>
  <c r="W124" i="7"/>
  <c r="W123" i="7"/>
  <c r="W122" i="7"/>
  <c r="W121" i="7"/>
  <c r="W120" i="7"/>
  <c r="W119" i="7"/>
  <c r="W118" i="7"/>
  <c r="W117" i="7"/>
  <c r="W116" i="7"/>
  <c r="W115" i="7"/>
  <c r="W114" i="7"/>
  <c r="W113" i="7"/>
  <c r="W112" i="7"/>
  <c r="W111" i="7"/>
  <c r="W110" i="7"/>
  <c r="W109" i="7"/>
  <c r="W108" i="7"/>
  <c r="W107" i="7"/>
  <c r="W106" i="7"/>
  <c r="W105" i="7"/>
  <c r="W104" i="7"/>
  <c r="W103" i="7"/>
  <c r="W102" i="7"/>
  <c r="W101" i="7"/>
  <c r="W100" i="7"/>
  <c r="W99" i="7"/>
  <c r="W98" i="7"/>
  <c r="W97" i="7"/>
  <c r="W96" i="7"/>
  <c r="W95" i="7"/>
  <c r="W94" i="7"/>
  <c r="W93" i="7"/>
  <c r="W92" i="7"/>
  <c r="W91" i="7"/>
  <c r="W90" i="7"/>
  <c r="W89" i="7"/>
  <c r="W88" i="7"/>
  <c r="W87" i="7"/>
  <c r="W86" i="7"/>
  <c r="W85" i="7"/>
  <c r="W84" i="7"/>
  <c r="W83" i="7"/>
  <c r="W82" i="7"/>
  <c r="W81" i="7"/>
  <c r="W80" i="7"/>
  <c r="W79" i="7"/>
  <c r="W78" i="7"/>
  <c r="W77" i="7"/>
  <c r="W76" i="7"/>
  <c r="W75" i="7"/>
  <c r="W74" i="7"/>
  <c r="W73" i="7"/>
  <c r="W72" i="7"/>
  <c r="W71" i="7"/>
  <c r="W70" i="7"/>
  <c r="W69" i="7"/>
  <c r="W68" i="7"/>
  <c r="W67" i="7"/>
  <c r="W66" i="7"/>
  <c r="W65" i="7"/>
  <c r="W64" i="7"/>
  <c r="W63" i="7"/>
  <c r="W62" i="7"/>
  <c r="W61" i="7"/>
  <c r="W60" i="7"/>
  <c r="W59" i="7"/>
  <c r="W58" i="7"/>
  <c r="W57" i="7"/>
  <c r="W56" i="7"/>
  <c r="W55" i="7"/>
  <c r="W54" i="7"/>
  <c r="W53" i="7"/>
  <c r="W52" i="7"/>
  <c r="W51" i="7"/>
  <c r="W50" i="7"/>
  <c r="W49" i="7"/>
  <c r="W48" i="7"/>
  <c r="W47" i="7"/>
  <c r="W46" i="7"/>
  <c r="W45" i="7"/>
  <c r="W44" i="7"/>
  <c r="W43" i="7"/>
  <c r="W42" i="7"/>
  <c r="W41" i="7"/>
  <c r="W40" i="7"/>
  <c r="W39" i="7"/>
  <c r="W38" i="7"/>
  <c r="W37" i="7"/>
  <c r="W36" i="7"/>
  <c r="W35" i="7"/>
  <c r="W34" i="7"/>
  <c r="W33" i="7"/>
  <c r="W32" i="7"/>
  <c r="W31" i="7"/>
  <c r="W30" i="7"/>
  <c r="W29" i="7"/>
  <c r="W28" i="7"/>
  <c r="W27" i="7"/>
  <c r="W26" i="7"/>
  <c r="W25" i="7"/>
  <c r="W24" i="7"/>
  <c r="W23" i="7"/>
  <c r="W22" i="7"/>
  <c r="W21" i="7"/>
  <c r="W20" i="7"/>
  <c r="W19" i="7"/>
  <c r="W18" i="7"/>
  <c r="W17" i="7"/>
  <c r="W16" i="7"/>
  <c r="W15" i="7"/>
  <c r="W14" i="7"/>
  <c r="W13" i="7"/>
  <c r="W12" i="7"/>
  <c r="W11" i="7"/>
  <c r="W10" i="7"/>
  <c r="W9" i="7"/>
  <c r="W8" i="7"/>
  <c r="W7" i="7"/>
  <c r="W6" i="7"/>
  <c r="W5" i="7"/>
  <c r="W4" i="7"/>
  <c r="A7" i="9"/>
  <c r="A8" i="9" s="1"/>
  <c r="C8" i="9" s="1"/>
  <c r="C7" i="9"/>
  <c r="T8" i="9"/>
  <c r="W8" i="9" s="1"/>
  <c r="H56" i="4"/>
  <c r="H57" i="4"/>
  <c r="H58" i="4"/>
  <c r="H60" i="4" s="1"/>
  <c r="H59" i="4"/>
  <c r="I61" i="9"/>
  <c r="C61" i="9"/>
  <c r="I114" i="16"/>
  <c r="H114" i="16"/>
  <c r="I104" i="16"/>
  <c r="H104" i="16"/>
  <c r="C82" i="16"/>
  <c r="I94" i="16"/>
  <c r="H94" i="16"/>
  <c r="I85" i="16"/>
  <c r="H85" i="16"/>
  <c r="I84" i="16"/>
  <c r="H84" i="16"/>
  <c r="I37" i="16"/>
  <c r="H37" i="16"/>
  <c r="C25" i="16"/>
  <c r="B30" i="16" s="1"/>
  <c r="I30" i="16"/>
  <c r="H30" i="16"/>
  <c r="H6" i="16"/>
  <c r="H3" i="16"/>
  <c r="J1" i="16"/>
  <c r="I6" i="16"/>
  <c r="I16" i="16"/>
  <c r="H16" i="16"/>
  <c r="C1" i="16"/>
  <c r="C48" i="9"/>
  <c r="S7" i="9"/>
  <c r="V7" i="9"/>
  <c r="S8" i="9"/>
  <c r="V8" i="9" s="1"/>
  <c r="C62" i="9"/>
  <c r="AH49" i="7"/>
  <c r="AJ49" i="7" s="1"/>
  <c r="AH48" i="7"/>
  <c r="AI48" i="7" s="1"/>
  <c r="AH4" i="7"/>
  <c r="AH5" i="7"/>
  <c r="AJ5" i="7" s="1"/>
  <c r="AJ48" i="7"/>
  <c r="AH47" i="7"/>
  <c r="AI47" i="7"/>
  <c r="AJ47" i="7"/>
  <c r="AH46" i="7"/>
  <c r="AJ46" i="7" s="1"/>
  <c r="AH17" i="7"/>
  <c r="AJ17" i="7"/>
  <c r="AH16" i="7"/>
  <c r="AH6" i="7"/>
  <c r="AJ6" i="7" s="1"/>
  <c r="AH7" i="7"/>
  <c r="AJ7" i="7" s="1"/>
  <c r="AH8" i="7"/>
  <c r="AI8" i="7" s="1"/>
  <c r="AH9" i="7"/>
  <c r="AI16" i="7"/>
  <c r="AJ16" i="7"/>
  <c r="AH15" i="7"/>
  <c r="AJ15" i="7" s="1"/>
  <c r="AH14" i="7"/>
  <c r="AJ14" i="7" s="1"/>
  <c r="AI14" i="7"/>
  <c r="AH13" i="7"/>
  <c r="AI13" i="7" s="1"/>
  <c r="AJ13" i="7"/>
  <c r="AH12" i="7"/>
  <c r="AI12" i="7"/>
  <c r="AJ12" i="7"/>
  <c r="AH11" i="7"/>
  <c r="AJ11" i="7" s="1"/>
  <c r="AI9" i="7"/>
  <c r="AJ9" i="7"/>
  <c r="AI7" i="7"/>
  <c r="AI6" i="7"/>
  <c r="AI5" i="7"/>
  <c r="AI4" i="7"/>
  <c r="AJ4" i="7"/>
  <c r="C59" i="9"/>
  <c r="C64" i="9"/>
  <c r="C142" i="16"/>
  <c r="C42" i="16"/>
  <c r="C125" i="16"/>
  <c r="I62" i="9"/>
  <c r="I67" i="9" s="1"/>
  <c r="I47" i="9"/>
  <c r="I63" i="9" s="1"/>
  <c r="I48" i="9"/>
  <c r="I64" i="9" s="1"/>
  <c r="O64" i="9" s="1"/>
  <c r="H6" i="4" s="1"/>
  <c r="J6" i="4" s="1"/>
  <c r="I49" i="9"/>
  <c r="I65" i="9" s="1"/>
  <c r="I60" i="9"/>
  <c r="I7" i="9"/>
  <c r="I8" i="9"/>
  <c r="C19" i="2"/>
  <c r="C77" i="9" s="1"/>
  <c r="T4" i="7"/>
  <c r="T5" i="7"/>
  <c r="T6" i="7"/>
  <c r="T7" i="7"/>
  <c r="T8" i="7"/>
  <c r="T9" i="7"/>
  <c r="T16" i="7"/>
  <c r="T15" i="7"/>
  <c r="T14" i="7"/>
  <c r="T13" i="7"/>
  <c r="T12" i="7"/>
  <c r="T11" i="7"/>
  <c r="T17" i="7"/>
  <c r="T46" i="7"/>
  <c r="T47" i="7"/>
  <c r="T48" i="7"/>
  <c r="T49" i="7"/>
  <c r="AG999" i="7"/>
  <c r="AG998" i="7"/>
  <c r="AG997" i="7"/>
  <c r="AG996" i="7"/>
  <c r="AG995" i="7"/>
  <c r="AG994" i="7"/>
  <c r="AG993" i="7"/>
  <c r="AG992" i="7"/>
  <c r="AG991" i="7"/>
  <c r="AG990" i="7"/>
  <c r="AG989" i="7"/>
  <c r="AG988" i="7"/>
  <c r="AG987" i="7"/>
  <c r="AG986" i="7"/>
  <c r="AG985" i="7"/>
  <c r="AG984" i="7"/>
  <c r="AG983" i="7"/>
  <c r="AG982" i="7"/>
  <c r="AG981" i="7"/>
  <c r="AG980" i="7"/>
  <c r="AG979" i="7"/>
  <c r="AG978" i="7"/>
  <c r="AG977" i="7"/>
  <c r="AG976" i="7"/>
  <c r="AG975" i="7"/>
  <c r="AG974" i="7"/>
  <c r="AG973" i="7"/>
  <c r="AG972" i="7"/>
  <c r="AG971" i="7"/>
  <c r="AG970" i="7"/>
  <c r="AG969" i="7"/>
  <c r="AG968" i="7"/>
  <c r="AG967" i="7"/>
  <c r="AG966" i="7"/>
  <c r="AG965" i="7"/>
  <c r="AG964" i="7"/>
  <c r="AG963" i="7"/>
  <c r="AG962" i="7"/>
  <c r="AG961" i="7"/>
  <c r="AG960" i="7"/>
  <c r="AG959" i="7"/>
  <c r="AG958" i="7"/>
  <c r="AG957" i="7"/>
  <c r="AG956" i="7"/>
  <c r="AG955" i="7"/>
  <c r="AG954" i="7"/>
  <c r="AG953" i="7"/>
  <c r="AG952" i="7"/>
  <c r="AG951" i="7"/>
  <c r="AG950" i="7"/>
  <c r="AG949" i="7"/>
  <c r="AG948" i="7"/>
  <c r="AG947" i="7"/>
  <c r="AG946" i="7"/>
  <c r="AG945" i="7"/>
  <c r="AG944" i="7"/>
  <c r="AG943" i="7"/>
  <c r="AG942" i="7"/>
  <c r="AG941" i="7"/>
  <c r="AG940" i="7"/>
  <c r="AG939" i="7"/>
  <c r="AG938" i="7"/>
  <c r="AG937" i="7"/>
  <c r="AG936" i="7"/>
  <c r="AG935" i="7"/>
  <c r="AG934" i="7"/>
  <c r="AG933" i="7"/>
  <c r="AG932" i="7"/>
  <c r="AG931" i="7"/>
  <c r="AG930" i="7"/>
  <c r="AG929" i="7"/>
  <c r="AG928" i="7"/>
  <c r="AG927" i="7"/>
  <c r="AG926" i="7"/>
  <c r="AG925" i="7"/>
  <c r="AG924" i="7"/>
  <c r="AG923" i="7"/>
  <c r="AG922" i="7"/>
  <c r="AG921" i="7"/>
  <c r="AG920" i="7"/>
  <c r="AG919" i="7"/>
  <c r="AG918" i="7"/>
  <c r="AG917" i="7"/>
  <c r="AG916" i="7"/>
  <c r="AG915" i="7"/>
  <c r="AG914" i="7"/>
  <c r="AG913" i="7"/>
  <c r="AG912" i="7"/>
  <c r="AG911" i="7"/>
  <c r="AG910" i="7"/>
  <c r="AG909" i="7"/>
  <c r="AG908" i="7"/>
  <c r="AG907" i="7"/>
  <c r="AG906" i="7"/>
  <c r="AG905" i="7"/>
  <c r="AG904" i="7"/>
  <c r="AG903" i="7"/>
  <c r="AG902" i="7"/>
  <c r="AG901" i="7"/>
  <c r="AG900" i="7"/>
  <c r="AG899" i="7"/>
  <c r="AG898" i="7"/>
  <c r="AG897" i="7"/>
  <c r="AG896" i="7"/>
  <c r="AG895" i="7"/>
  <c r="AG894" i="7"/>
  <c r="AG893" i="7"/>
  <c r="AG892" i="7"/>
  <c r="AG891" i="7"/>
  <c r="AG890" i="7"/>
  <c r="AG889" i="7"/>
  <c r="AG888" i="7"/>
  <c r="AG887" i="7"/>
  <c r="AG886" i="7"/>
  <c r="AG885" i="7"/>
  <c r="AG884" i="7"/>
  <c r="AG883" i="7"/>
  <c r="AG882" i="7"/>
  <c r="AG881" i="7"/>
  <c r="AG880" i="7"/>
  <c r="AG879" i="7"/>
  <c r="AG878" i="7"/>
  <c r="AG877" i="7"/>
  <c r="AG876" i="7"/>
  <c r="AG875" i="7"/>
  <c r="AG874" i="7"/>
  <c r="AG873" i="7"/>
  <c r="AG872" i="7"/>
  <c r="AG871" i="7"/>
  <c r="AG870" i="7"/>
  <c r="AG869" i="7"/>
  <c r="AG868" i="7"/>
  <c r="AG867" i="7"/>
  <c r="AG866" i="7"/>
  <c r="AG865" i="7"/>
  <c r="AG864" i="7"/>
  <c r="AG863" i="7"/>
  <c r="AG862" i="7"/>
  <c r="AG861" i="7"/>
  <c r="AG860" i="7"/>
  <c r="AG859" i="7"/>
  <c r="AG858" i="7"/>
  <c r="AG857" i="7"/>
  <c r="AG856" i="7"/>
  <c r="AG855" i="7"/>
  <c r="AG854" i="7"/>
  <c r="AG853" i="7"/>
  <c r="AG852" i="7"/>
  <c r="AG851" i="7"/>
  <c r="AG850" i="7"/>
  <c r="AG849" i="7"/>
  <c r="AG848" i="7"/>
  <c r="AG847" i="7"/>
  <c r="AG846" i="7"/>
  <c r="AG845" i="7"/>
  <c r="AG844" i="7"/>
  <c r="AG843" i="7"/>
  <c r="AG842" i="7"/>
  <c r="AG841" i="7"/>
  <c r="AG840" i="7"/>
  <c r="AG839" i="7"/>
  <c r="AG838" i="7"/>
  <c r="AG837" i="7"/>
  <c r="AG836" i="7"/>
  <c r="AG835" i="7"/>
  <c r="AG834" i="7"/>
  <c r="AG833" i="7"/>
  <c r="AG832" i="7"/>
  <c r="AG831" i="7"/>
  <c r="AG830" i="7"/>
  <c r="AG829" i="7"/>
  <c r="AG828" i="7"/>
  <c r="AG827" i="7"/>
  <c r="AG826" i="7"/>
  <c r="AG825" i="7"/>
  <c r="AG824" i="7"/>
  <c r="AG823" i="7"/>
  <c r="AG822" i="7"/>
  <c r="AG821" i="7"/>
  <c r="AG820" i="7"/>
  <c r="AG819" i="7"/>
  <c r="AG818" i="7"/>
  <c r="AG817" i="7"/>
  <c r="AG816" i="7"/>
  <c r="AG815" i="7"/>
  <c r="AG814" i="7"/>
  <c r="AG813" i="7"/>
  <c r="AG812" i="7"/>
  <c r="AG811" i="7"/>
  <c r="AG810" i="7"/>
  <c r="AG809" i="7"/>
  <c r="AG808" i="7"/>
  <c r="AG807" i="7"/>
  <c r="AG806" i="7"/>
  <c r="AG805" i="7"/>
  <c r="AG804" i="7"/>
  <c r="AG803" i="7"/>
  <c r="AG802" i="7"/>
  <c r="AG801" i="7"/>
  <c r="AG800" i="7"/>
  <c r="AG799" i="7"/>
  <c r="AG798" i="7"/>
  <c r="AG797" i="7"/>
  <c r="AG796" i="7"/>
  <c r="AG795" i="7"/>
  <c r="AG794" i="7"/>
  <c r="AG793" i="7"/>
  <c r="AG792" i="7"/>
  <c r="AG791" i="7"/>
  <c r="AG790" i="7"/>
  <c r="AG789" i="7"/>
  <c r="AG788" i="7"/>
  <c r="AG787" i="7"/>
  <c r="AG786" i="7"/>
  <c r="AG785" i="7"/>
  <c r="AG784" i="7"/>
  <c r="AG783" i="7"/>
  <c r="AG782" i="7"/>
  <c r="AG781" i="7"/>
  <c r="AG780" i="7"/>
  <c r="AG779" i="7"/>
  <c r="AG778" i="7"/>
  <c r="AG777" i="7"/>
  <c r="AG776" i="7"/>
  <c r="AG775" i="7"/>
  <c r="AG774" i="7"/>
  <c r="AG773" i="7"/>
  <c r="AG772" i="7"/>
  <c r="AG771" i="7"/>
  <c r="AG770" i="7"/>
  <c r="AG769" i="7"/>
  <c r="AG768" i="7"/>
  <c r="AG767" i="7"/>
  <c r="AG766" i="7"/>
  <c r="AG765" i="7"/>
  <c r="AG764" i="7"/>
  <c r="AG763" i="7"/>
  <c r="AG762" i="7"/>
  <c r="AG761" i="7"/>
  <c r="AG760" i="7"/>
  <c r="AG759" i="7"/>
  <c r="AG758" i="7"/>
  <c r="AG757" i="7"/>
  <c r="AG756" i="7"/>
  <c r="AG755" i="7"/>
  <c r="AG754" i="7"/>
  <c r="AG753" i="7"/>
  <c r="AG752" i="7"/>
  <c r="AG751" i="7"/>
  <c r="AG750" i="7"/>
  <c r="AG749" i="7"/>
  <c r="AG748" i="7"/>
  <c r="AG747" i="7"/>
  <c r="AG746" i="7"/>
  <c r="AG745" i="7"/>
  <c r="AG744" i="7"/>
  <c r="AG743" i="7"/>
  <c r="AG742" i="7"/>
  <c r="AG741" i="7"/>
  <c r="AG740" i="7"/>
  <c r="AG739" i="7"/>
  <c r="AG738" i="7"/>
  <c r="AG737" i="7"/>
  <c r="AG736" i="7"/>
  <c r="AG735" i="7"/>
  <c r="AG734" i="7"/>
  <c r="AG733" i="7"/>
  <c r="AG732" i="7"/>
  <c r="AG731" i="7"/>
  <c r="AG730" i="7"/>
  <c r="AG729" i="7"/>
  <c r="AG728" i="7"/>
  <c r="AG727" i="7"/>
  <c r="AG726" i="7"/>
  <c r="AG725" i="7"/>
  <c r="AG724" i="7"/>
  <c r="AG723" i="7"/>
  <c r="AG722" i="7"/>
  <c r="AG721" i="7"/>
  <c r="AG720" i="7"/>
  <c r="AG719" i="7"/>
  <c r="AG718" i="7"/>
  <c r="AG717" i="7"/>
  <c r="AG716" i="7"/>
  <c r="AG715" i="7"/>
  <c r="AG714" i="7"/>
  <c r="AG713" i="7"/>
  <c r="AG712" i="7"/>
  <c r="AG711" i="7"/>
  <c r="AG710" i="7"/>
  <c r="AG709" i="7"/>
  <c r="AG708" i="7"/>
  <c r="AG707" i="7"/>
  <c r="AG706" i="7"/>
  <c r="AG705" i="7"/>
  <c r="AG704" i="7"/>
  <c r="AG703" i="7"/>
  <c r="AG702" i="7"/>
  <c r="AG701" i="7"/>
  <c r="AG700" i="7"/>
  <c r="AG699" i="7"/>
  <c r="AG698" i="7"/>
  <c r="AG697" i="7"/>
  <c r="AG696" i="7"/>
  <c r="AG695" i="7"/>
  <c r="AG694" i="7"/>
  <c r="AG693" i="7"/>
  <c r="AG692" i="7"/>
  <c r="AG691" i="7"/>
  <c r="AG690" i="7"/>
  <c r="AG689" i="7"/>
  <c r="AG688" i="7"/>
  <c r="AG687" i="7"/>
  <c r="AG686" i="7"/>
  <c r="AG685" i="7"/>
  <c r="AG684" i="7"/>
  <c r="AG683" i="7"/>
  <c r="AG682" i="7"/>
  <c r="AG681" i="7"/>
  <c r="AG680" i="7"/>
  <c r="AG679" i="7"/>
  <c r="AG678" i="7"/>
  <c r="AG677" i="7"/>
  <c r="AG676" i="7"/>
  <c r="AG675" i="7"/>
  <c r="AG674" i="7"/>
  <c r="AG673" i="7"/>
  <c r="AG672" i="7"/>
  <c r="AG671" i="7"/>
  <c r="AG670" i="7"/>
  <c r="AG669" i="7"/>
  <c r="AG668" i="7"/>
  <c r="AG667" i="7"/>
  <c r="AG666" i="7"/>
  <c r="AG665" i="7"/>
  <c r="AG664" i="7"/>
  <c r="AG663" i="7"/>
  <c r="AG662" i="7"/>
  <c r="AG661" i="7"/>
  <c r="AG660" i="7"/>
  <c r="AG659" i="7"/>
  <c r="AG658" i="7"/>
  <c r="AG657" i="7"/>
  <c r="AG656" i="7"/>
  <c r="AG655" i="7"/>
  <c r="AG654" i="7"/>
  <c r="AG653" i="7"/>
  <c r="AG652" i="7"/>
  <c r="AG651" i="7"/>
  <c r="AG650" i="7"/>
  <c r="AG649" i="7"/>
  <c r="AG648" i="7"/>
  <c r="AG647" i="7"/>
  <c r="AG646" i="7"/>
  <c r="AG645" i="7"/>
  <c r="AG644" i="7"/>
  <c r="AG643" i="7"/>
  <c r="AG642" i="7"/>
  <c r="AG641" i="7"/>
  <c r="AG640" i="7"/>
  <c r="AG639" i="7"/>
  <c r="AG638" i="7"/>
  <c r="AG637" i="7"/>
  <c r="AG636" i="7"/>
  <c r="AG635" i="7"/>
  <c r="AG634" i="7"/>
  <c r="AG633" i="7"/>
  <c r="AG632" i="7"/>
  <c r="AG631" i="7"/>
  <c r="AG630" i="7"/>
  <c r="AG629" i="7"/>
  <c r="AG628" i="7"/>
  <c r="AG627" i="7"/>
  <c r="AG626" i="7"/>
  <c r="AG625" i="7"/>
  <c r="AG624" i="7"/>
  <c r="AG623" i="7"/>
  <c r="AG622" i="7"/>
  <c r="AG621" i="7"/>
  <c r="AG620" i="7"/>
  <c r="AG619" i="7"/>
  <c r="AG618" i="7"/>
  <c r="AG617" i="7"/>
  <c r="AG616" i="7"/>
  <c r="AG615" i="7"/>
  <c r="AG614" i="7"/>
  <c r="AG613" i="7"/>
  <c r="AG612" i="7"/>
  <c r="AG611" i="7"/>
  <c r="AG610" i="7"/>
  <c r="AG609" i="7"/>
  <c r="AG608" i="7"/>
  <c r="AG607" i="7"/>
  <c r="AG606" i="7"/>
  <c r="AG605" i="7"/>
  <c r="AG604" i="7"/>
  <c r="AG603" i="7"/>
  <c r="AG602" i="7"/>
  <c r="AG601" i="7"/>
  <c r="AG600" i="7"/>
  <c r="AG599" i="7"/>
  <c r="AG598" i="7"/>
  <c r="AG597" i="7"/>
  <c r="AG596" i="7"/>
  <c r="AG595" i="7"/>
  <c r="AG594" i="7"/>
  <c r="AG593" i="7"/>
  <c r="AG592" i="7"/>
  <c r="AG591" i="7"/>
  <c r="AG590" i="7"/>
  <c r="AG589" i="7"/>
  <c r="AG588" i="7"/>
  <c r="AG587" i="7"/>
  <c r="AG586" i="7"/>
  <c r="AG585" i="7"/>
  <c r="AG584" i="7"/>
  <c r="AG583" i="7"/>
  <c r="AG582" i="7"/>
  <c r="AG581" i="7"/>
  <c r="AG580" i="7"/>
  <c r="AG579" i="7"/>
  <c r="AG578" i="7"/>
  <c r="AG577" i="7"/>
  <c r="AG576" i="7"/>
  <c r="AG575" i="7"/>
  <c r="AG574" i="7"/>
  <c r="AG573" i="7"/>
  <c r="AG572" i="7"/>
  <c r="AG571" i="7"/>
  <c r="AG570" i="7"/>
  <c r="AG569" i="7"/>
  <c r="AG568" i="7"/>
  <c r="AG567" i="7"/>
  <c r="AG566" i="7"/>
  <c r="AG565" i="7"/>
  <c r="AG564" i="7"/>
  <c r="AG563" i="7"/>
  <c r="AG562" i="7"/>
  <c r="AG561" i="7"/>
  <c r="AG560" i="7"/>
  <c r="AG559" i="7"/>
  <c r="AG558" i="7"/>
  <c r="AG557" i="7"/>
  <c r="AG556" i="7"/>
  <c r="AG555" i="7"/>
  <c r="AG554" i="7"/>
  <c r="AG553" i="7"/>
  <c r="AG552" i="7"/>
  <c r="AG551" i="7"/>
  <c r="AG550" i="7"/>
  <c r="AG549" i="7"/>
  <c r="AG548" i="7"/>
  <c r="AG547" i="7"/>
  <c r="AG546" i="7"/>
  <c r="AG545" i="7"/>
  <c r="AG544" i="7"/>
  <c r="AG543" i="7"/>
  <c r="AG542" i="7"/>
  <c r="AG541" i="7"/>
  <c r="AG540" i="7"/>
  <c r="AG539" i="7"/>
  <c r="AG538" i="7"/>
  <c r="AG537" i="7"/>
  <c r="AG536" i="7"/>
  <c r="AG535" i="7"/>
  <c r="AG534" i="7"/>
  <c r="AG533" i="7"/>
  <c r="AG532" i="7"/>
  <c r="AG531" i="7"/>
  <c r="AG530" i="7"/>
  <c r="AG529" i="7"/>
  <c r="AG528" i="7"/>
  <c r="AG527" i="7"/>
  <c r="AG526" i="7"/>
  <c r="AG525" i="7"/>
  <c r="AG524" i="7"/>
  <c r="AG523" i="7"/>
  <c r="AG522" i="7"/>
  <c r="AG521" i="7"/>
  <c r="AG520" i="7"/>
  <c r="AG519" i="7"/>
  <c r="AG518" i="7"/>
  <c r="AG517" i="7"/>
  <c r="AG516" i="7"/>
  <c r="AG515" i="7"/>
  <c r="AG514" i="7"/>
  <c r="AG513" i="7"/>
  <c r="AG512" i="7"/>
  <c r="AG511" i="7"/>
  <c r="AG510" i="7"/>
  <c r="AG509" i="7"/>
  <c r="AG508" i="7"/>
  <c r="AG507" i="7"/>
  <c r="AG506" i="7"/>
  <c r="AG505" i="7"/>
  <c r="AG504" i="7"/>
  <c r="AG503" i="7"/>
  <c r="AG502" i="7"/>
  <c r="AG501" i="7"/>
  <c r="AG500" i="7"/>
  <c r="AG499" i="7"/>
  <c r="AG498" i="7"/>
  <c r="AG497" i="7"/>
  <c r="AG496" i="7"/>
  <c r="AG495" i="7"/>
  <c r="AG494" i="7"/>
  <c r="AG493" i="7"/>
  <c r="AG492" i="7"/>
  <c r="AG491" i="7"/>
  <c r="AG490" i="7"/>
  <c r="AG489" i="7"/>
  <c r="AG488" i="7"/>
  <c r="AG487" i="7"/>
  <c r="AG486" i="7"/>
  <c r="AG485" i="7"/>
  <c r="AG484" i="7"/>
  <c r="AG483" i="7"/>
  <c r="AG482" i="7"/>
  <c r="AG481" i="7"/>
  <c r="AG480" i="7"/>
  <c r="AG479" i="7"/>
  <c r="AG478" i="7"/>
  <c r="AG477" i="7"/>
  <c r="AG476" i="7"/>
  <c r="AG475" i="7"/>
  <c r="AG474" i="7"/>
  <c r="AG473" i="7"/>
  <c r="AG472" i="7"/>
  <c r="AG471" i="7"/>
  <c r="AG470" i="7"/>
  <c r="AG469" i="7"/>
  <c r="AG468" i="7"/>
  <c r="AG467" i="7"/>
  <c r="AG466" i="7"/>
  <c r="AG465" i="7"/>
  <c r="AG464" i="7"/>
  <c r="AG463" i="7"/>
  <c r="AG462" i="7"/>
  <c r="AG461" i="7"/>
  <c r="AG460" i="7"/>
  <c r="AG459" i="7"/>
  <c r="AG458" i="7"/>
  <c r="AG457" i="7"/>
  <c r="AG456" i="7"/>
  <c r="AG455" i="7"/>
  <c r="AG454" i="7"/>
  <c r="AG453" i="7"/>
  <c r="AG452" i="7"/>
  <c r="AG451" i="7"/>
  <c r="AG450" i="7"/>
  <c r="AG449" i="7"/>
  <c r="AG448" i="7"/>
  <c r="AG447" i="7"/>
  <c r="AG446" i="7"/>
  <c r="AG445" i="7"/>
  <c r="AG444" i="7"/>
  <c r="AG443" i="7"/>
  <c r="AG442" i="7"/>
  <c r="AG441" i="7"/>
  <c r="AG440" i="7"/>
  <c r="AG439" i="7"/>
  <c r="AG438" i="7"/>
  <c r="AG437" i="7"/>
  <c r="AG436" i="7"/>
  <c r="AG435" i="7"/>
  <c r="AG434" i="7"/>
  <c r="AG433" i="7"/>
  <c r="AG432" i="7"/>
  <c r="AG431" i="7"/>
  <c r="AG430" i="7"/>
  <c r="AG429" i="7"/>
  <c r="AG428" i="7"/>
  <c r="AG427" i="7"/>
  <c r="AG426" i="7"/>
  <c r="AG425" i="7"/>
  <c r="AG424" i="7"/>
  <c r="AG423" i="7"/>
  <c r="AG422" i="7"/>
  <c r="AG421" i="7"/>
  <c r="AG420" i="7"/>
  <c r="AG419" i="7"/>
  <c r="AG418" i="7"/>
  <c r="AG417" i="7"/>
  <c r="AG416" i="7"/>
  <c r="AG415" i="7"/>
  <c r="AG414" i="7"/>
  <c r="AG413" i="7"/>
  <c r="AG412" i="7"/>
  <c r="AG411" i="7"/>
  <c r="AG410" i="7"/>
  <c r="AG409" i="7"/>
  <c r="AG408" i="7"/>
  <c r="AG407" i="7"/>
  <c r="AG406" i="7"/>
  <c r="AG405" i="7"/>
  <c r="AG404" i="7"/>
  <c r="AG403" i="7"/>
  <c r="AG402" i="7"/>
  <c r="AG401" i="7"/>
  <c r="AG400" i="7"/>
  <c r="AG399" i="7"/>
  <c r="AG398" i="7"/>
  <c r="AG397" i="7"/>
  <c r="AG396" i="7"/>
  <c r="AG395" i="7"/>
  <c r="AG394" i="7"/>
  <c r="AG393" i="7"/>
  <c r="AG392" i="7"/>
  <c r="AG391" i="7"/>
  <c r="AG390" i="7"/>
  <c r="AG389" i="7"/>
  <c r="AG388" i="7"/>
  <c r="AG387" i="7"/>
  <c r="AG386" i="7"/>
  <c r="AG385" i="7"/>
  <c r="AG384" i="7"/>
  <c r="AG383" i="7"/>
  <c r="AG382" i="7"/>
  <c r="AG381" i="7"/>
  <c r="AG380" i="7"/>
  <c r="AG379" i="7"/>
  <c r="AG378" i="7"/>
  <c r="AG377" i="7"/>
  <c r="AG376" i="7"/>
  <c r="AG375" i="7"/>
  <c r="AG374" i="7"/>
  <c r="AG373" i="7"/>
  <c r="AG372" i="7"/>
  <c r="AG371" i="7"/>
  <c r="AG370" i="7"/>
  <c r="AG369" i="7"/>
  <c r="AG368" i="7"/>
  <c r="AG367" i="7"/>
  <c r="AG366" i="7"/>
  <c r="AG365" i="7"/>
  <c r="AG364" i="7"/>
  <c r="AG363" i="7"/>
  <c r="AG362" i="7"/>
  <c r="AG361" i="7"/>
  <c r="AG360" i="7"/>
  <c r="AG359" i="7"/>
  <c r="AG358" i="7"/>
  <c r="AG357" i="7"/>
  <c r="AG356" i="7"/>
  <c r="AG355" i="7"/>
  <c r="AG354" i="7"/>
  <c r="AG353" i="7"/>
  <c r="AG352" i="7"/>
  <c r="AG351" i="7"/>
  <c r="AG350" i="7"/>
  <c r="AG349" i="7"/>
  <c r="AG348" i="7"/>
  <c r="AG347" i="7"/>
  <c r="AG346" i="7"/>
  <c r="AG345" i="7"/>
  <c r="AG344" i="7"/>
  <c r="AG343" i="7"/>
  <c r="AG342" i="7"/>
  <c r="AG341" i="7"/>
  <c r="AG340" i="7"/>
  <c r="AG339" i="7"/>
  <c r="AG338" i="7"/>
  <c r="AG337" i="7"/>
  <c r="AG336" i="7"/>
  <c r="AG335" i="7"/>
  <c r="AG334" i="7"/>
  <c r="AG333" i="7"/>
  <c r="AG332" i="7"/>
  <c r="AG331" i="7"/>
  <c r="AG330" i="7"/>
  <c r="AG329" i="7"/>
  <c r="AG328" i="7"/>
  <c r="AG327" i="7"/>
  <c r="AG326" i="7"/>
  <c r="AG325" i="7"/>
  <c r="AG324" i="7"/>
  <c r="AG323" i="7"/>
  <c r="AG322" i="7"/>
  <c r="AG321" i="7"/>
  <c r="AG320" i="7"/>
  <c r="AG319" i="7"/>
  <c r="AG318" i="7"/>
  <c r="AG317" i="7"/>
  <c r="AG316" i="7"/>
  <c r="AG315" i="7"/>
  <c r="AG314" i="7"/>
  <c r="AG313" i="7"/>
  <c r="AG312" i="7"/>
  <c r="AG311" i="7"/>
  <c r="AG310" i="7"/>
  <c r="AG309" i="7"/>
  <c r="AG308" i="7"/>
  <c r="AG307" i="7"/>
  <c r="AG306" i="7"/>
  <c r="AG305" i="7"/>
  <c r="AG304" i="7"/>
  <c r="AG303" i="7"/>
  <c r="AG302" i="7"/>
  <c r="AG301" i="7"/>
  <c r="AG300" i="7"/>
  <c r="AG299" i="7"/>
  <c r="AG298" i="7"/>
  <c r="AG297" i="7"/>
  <c r="AG296" i="7"/>
  <c r="AG295" i="7"/>
  <c r="AG294" i="7"/>
  <c r="AG293" i="7"/>
  <c r="AG292" i="7"/>
  <c r="AG291" i="7"/>
  <c r="AG290" i="7"/>
  <c r="AG289" i="7"/>
  <c r="AG288" i="7"/>
  <c r="AG287" i="7"/>
  <c r="AG286" i="7"/>
  <c r="AG285" i="7"/>
  <c r="AG284" i="7"/>
  <c r="AG283" i="7"/>
  <c r="AG282" i="7"/>
  <c r="AG281" i="7"/>
  <c r="AG280" i="7"/>
  <c r="AG279" i="7"/>
  <c r="AG278" i="7"/>
  <c r="AG277" i="7"/>
  <c r="AG276" i="7"/>
  <c r="AG275" i="7"/>
  <c r="AG274" i="7"/>
  <c r="AG273" i="7"/>
  <c r="AG272" i="7"/>
  <c r="AG271" i="7"/>
  <c r="AG270" i="7"/>
  <c r="AG269" i="7"/>
  <c r="AG268" i="7"/>
  <c r="AG267" i="7"/>
  <c r="AG266" i="7"/>
  <c r="AG265" i="7"/>
  <c r="AG264" i="7"/>
  <c r="AG263" i="7"/>
  <c r="AG262" i="7"/>
  <c r="AG261" i="7"/>
  <c r="AG260" i="7"/>
  <c r="AG259" i="7"/>
  <c r="AG258" i="7"/>
  <c r="AG257" i="7"/>
  <c r="AG256" i="7"/>
  <c r="AG255" i="7"/>
  <c r="AG254" i="7"/>
  <c r="AG253" i="7"/>
  <c r="AG252" i="7"/>
  <c r="AG251" i="7"/>
  <c r="AG250" i="7"/>
  <c r="AG249" i="7"/>
  <c r="AG248" i="7"/>
  <c r="AG247" i="7"/>
  <c r="AG246" i="7"/>
  <c r="AG245" i="7"/>
  <c r="AG244" i="7"/>
  <c r="AG243" i="7"/>
  <c r="AG242" i="7"/>
  <c r="AG241" i="7"/>
  <c r="AG240" i="7"/>
  <c r="AG239" i="7"/>
  <c r="AG238" i="7"/>
  <c r="AG237" i="7"/>
  <c r="AG236" i="7"/>
  <c r="AG235" i="7"/>
  <c r="AG234" i="7"/>
  <c r="AG233" i="7"/>
  <c r="AG232" i="7"/>
  <c r="AG231" i="7"/>
  <c r="AG230" i="7"/>
  <c r="AG229" i="7"/>
  <c r="AG228" i="7"/>
  <c r="AG227" i="7"/>
  <c r="AG226" i="7"/>
  <c r="AG225" i="7"/>
  <c r="AG224" i="7"/>
  <c r="AG223" i="7"/>
  <c r="AG222" i="7"/>
  <c r="AG221" i="7"/>
  <c r="AG220" i="7"/>
  <c r="AG219" i="7"/>
  <c r="AG218" i="7"/>
  <c r="AG217" i="7"/>
  <c r="AG216" i="7"/>
  <c r="AG215" i="7"/>
  <c r="AG214" i="7"/>
  <c r="AG213" i="7"/>
  <c r="AG212" i="7"/>
  <c r="AG211" i="7"/>
  <c r="AG210" i="7"/>
  <c r="AG209" i="7"/>
  <c r="AG208" i="7"/>
  <c r="AG207" i="7"/>
  <c r="AG206" i="7"/>
  <c r="AG205" i="7"/>
  <c r="AG204" i="7"/>
  <c r="AG203" i="7"/>
  <c r="AG202" i="7"/>
  <c r="AG201" i="7"/>
  <c r="AG200" i="7"/>
  <c r="AG199" i="7"/>
  <c r="AG198" i="7"/>
  <c r="AG197" i="7"/>
  <c r="AG196" i="7"/>
  <c r="AG195" i="7"/>
  <c r="AG194" i="7"/>
  <c r="AG193" i="7"/>
  <c r="AG192" i="7"/>
  <c r="AG191" i="7"/>
  <c r="AG190" i="7"/>
  <c r="AG189" i="7"/>
  <c r="AG188" i="7"/>
  <c r="AG187" i="7"/>
  <c r="AG186" i="7"/>
  <c r="AG185" i="7"/>
  <c r="AG184" i="7"/>
  <c r="AG183" i="7"/>
  <c r="AG182" i="7"/>
  <c r="AG181" i="7"/>
  <c r="AG180" i="7"/>
  <c r="AG179" i="7"/>
  <c r="AG178" i="7"/>
  <c r="AG177" i="7"/>
  <c r="AG176" i="7"/>
  <c r="AG175" i="7"/>
  <c r="AG174" i="7"/>
  <c r="AG173" i="7"/>
  <c r="AG172" i="7"/>
  <c r="AG171" i="7"/>
  <c r="AG170" i="7"/>
  <c r="AG169" i="7"/>
  <c r="AG168" i="7"/>
  <c r="AG167" i="7"/>
  <c r="AG166" i="7"/>
  <c r="AG165" i="7"/>
  <c r="AG164" i="7"/>
  <c r="AG163" i="7"/>
  <c r="AG162" i="7"/>
  <c r="AG161" i="7"/>
  <c r="AG160" i="7"/>
  <c r="AG159" i="7"/>
  <c r="AG158" i="7"/>
  <c r="AG157" i="7"/>
  <c r="AG156" i="7"/>
  <c r="AG155" i="7"/>
  <c r="AG154" i="7"/>
  <c r="AG153" i="7"/>
  <c r="AG152" i="7"/>
  <c r="AG151" i="7"/>
  <c r="AG150" i="7"/>
  <c r="AG149" i="7"/>
  <c r="AG148" i="7"/>
  <c r="AG147" i="7"/>
  <c r="AG146" i="7"/>
  <c r="AG145" i="7"/>
  <c r="AG144" i="7"/>
  <c r="AG143" i="7"/>
  <c r="AG142" i="7"/>
  <c r="AG141" i="7"/>
  <c r="AG140" i="7"/>
  <c r="AG139" i="7"/>
  <c r="AG138" i="7"/>
  <c r="AG137" i="7"/>
  <c r="AG136" i="7"/>
  <c r="AG135" i="7"/>
  <c r="AG134" i="7"/>
  <c r="AG133" i="7"/>
  <c r="AG132" i="7"/>
  <c r="AG131" i="7"/>
  <c r="AG130" i="7"/>
  <c r="AG129" i="7"/>
  <c r="AG128" i="7"/>
  <c r="AG127" i="7"/>
  <c r="AG126" i="7"/>
  <c r="AG125" i="7"/>
  <c r="AG124" i="7"/>
  <c r="AG123" i="7"/>
  <c r="AG122" i="7"/>
  <c r="AG121" i="7"/>
  <c r="AG120" i="7"/>
  <c r="AG119" i="7"/>
  <c r="AG118" i="7"/>
  <c r="AG117" i="7"/>
  <c r="AG116" i="7"/>
  <c r="AG115" i="7"/>
  <c r="AG114" i="7"/>
  <c r="AG113" i="7"/>
  <c r="AG112" i="7"/>
  <c r="AG111" i="7"/>
  <c r="AG110" i="7"/>
  <c r="AG109" i="7"/>
  <c r="AG108" i="7"/>
  <c r="AG107" i="7"/>
  <c r="AG106" i="7"/>
  <c r="AG105" i="7"/>
  <c r="AG104" i="7"/>
  <c r="AG103" i="7"/>
  <c r="AG102" i="7"/>
  <c r="AG101" i="7"/>
  <c r="AG100" i="7"/>
  <c r="AG99" i="7"/>
  <c r="AG98" i="7"/>
  <c r="AG97" i="7"/>
  <c r="AG96" i="7"/>
  <c r="AG95" i="7"/>
  <c r="AG94" i="7"/>
  <c r="AG93" i="7"/>
  <c r="AG92" i="7"/>
  <c r="AG91" i="7"/>
  <c r="AG90" i="7"/>
  <c r="AG89" i="7"/>
  <c r="AG88" i="7"/>
  <c r="AG87" i="7"/>
  <c r="AG86" i="7"/>
  <c r="AG85" i="7"/>
  <c r="AG84" i="7"/>
  <c r="AG83" i="7"/>
  <c r="AG82" i="7"/>
  <c r="AG81" i="7"/>
  <c r="AG80" i="7"/>
  <c r="AG79" i="7"/>
  <c r="AG78" i="7"/>
  <c r="AG77" i="7"/>
  <c r="AG76" i="7"/>
  <c r="AG75" i="7"/>
  <c r="AG74" i="7"/>
  <c r="AG73" i="7"/>
  <c r="AG72" i="7"/>
  <c r="AG71" i="7"/>
  <c r="AG70" i="7"/>
  <c r="AG69"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U16" i="7"/>
  <c r="AG16" i="7"/>
  <c r="U15" i="7"/>
  <c r="AG15" i="7"/>
  <c r="U14" i="7"/>
  <c r="AG14" i="7"/>
  <c r="U13" i="7"/>
  <c r="AG13" i="7"/>
  <c r="U12" i="7"/>
  <c r="AG12" i="7"/>
  <c r="U11" i="7"/>
  <c r="AG11" i="7"/>
  <c r="AG10" i="7"/>
  <c r="U9" i="7"/>
  <c r="AG9" i="7"/>
  <c r="U8" i="7"/>
  <c r="AG8" i="7"/>
  <c r="U7" i="7"/>
  <c r="AG7" i="7"/>
  <c r="U6" i="7"/>
  <c r="AG6" i="7"/>
  <c r="U5" i="7"/>
  <c r="AG5" i="7"/>
  <c r="U4" i="7"/>
  <c r="AG4" i="7"/>
  <c r="C76" i="9"/>
  <c r="H157" i="16"/>
  <c r="H155" i="16"/>
  <c r="I137" i="16"/>
  <c r="H137" i="16"/>
  <c r="H139" i="16"/>
  <c r="H23" i="16"/>
  <c r="H13" i="16"/>
  <c r="I7" i="15"/>
  <c r="I6" i="15"/>
  <c r="I5" i="15"/>
  <c r="B89" i="2"/>
  <c r="I4" i="15"/>
  <c r="I2" i="15"/>
  <c r="I55" i="4"/>
  <c r="J55" i="4" s="1"/>
  <c r="I54" i="4"/>
  <c r="J54" i="4" s="1"/>
  <c r="I53" i="4"/>
  <c r="J53" i="4" s="1"/>
  <c r="I52" i="4"/>
  <c r="J52" i="4" s="1"/>
  <c r="I51" i="4"/>
  <c r="J51" i="4" s="1"/>
  <c r="I50" i="4"/>
  <c r="J50" i="4" s="1"/>
  <c r="I49" i="4"/>
  <c r="J49" i="4" s="1"/>
  <c r="I48" i="4"/>
  <c r="J48" i="4" s="1"/>
  <c r="I47" i="4"/>
  <c r="J47" i="4" s="1"/>
  <c r="I46" i="4"/>
  <c r="J46" i="4" s="1"/>
  <c r="I45" i="4"/>
  <c r="J45" i="4" s="1"/>
  <c r="I44" i="4"/>
  <c r="J44" i="4" s="1"/>
  <c r="I43" i="4"/>
  <c r="J43" i="4" s="1"/>
  <c r="I42" i="4"/>
  <c r="J42" i="4" s="1"/>
  <c r="I41" i="4"/>
  <c r="J41" i="4" s="1"/>
  <c r="I40" i="4"/>
  <c r="J40" i="4" s="1"/>
  <c r="I39" i="4"/>
  <c r="J39" i="4" s="1"/>
  <c r="I38" i="4"/>
  <c r="J38" i="4" s="1"/>
  <c r="I37" i="4"/>
  <c r="J37" i="4" s="1"/>
  <c r="I36" i="4"/>
  <c r="J36" i="4" s="1"/>
  <c r="I35" i="4"/>
  <c r="J35" i="4" s="1"/>
  <c r="I34" i="4"/>
  <c r="J34" i="4" s="1"/>
  <c r="I33" i="4"/>
  <c r="J33" i="4" s="1"/>
  <c r="I32" i="4"/>
  <c r="J32" i="4" s="1"/>
  <c r="I31" i="4"/>
  <c r="J31" i="4" s="1"/>
  <c r="I30" i="4"/>
  <c r="J30" i="4" s="1"/>
  <c r="I29" i="4"/>
  <c r="J29" i="4" s="1"/>
  <c r="I28" i="4"/>
  <c r="J28" i="4" s="1"/>
  <c r="I27" i="4"/>
  <c r="J27" i="4" s="1"/>
  <c r="I26" i="4"/>
  <c r="J26" i="4" s="1"/>
  <c r="I25" i="4"/>
  <c r="J25" i="4" s="1"/>
  <c r="I24" i="4"/>
  <c r="J24" i="4" s="1"/>
  <c r="I23" i="4"/>
  <c r="J23" i="4" s="1"/>
  <c r="I22" i="4"/>
  <c r="J22" i="4" s="1"/>
  <c r="I21" i="4"/>
  <c r="J21" i="4" s="1"/>
  <c r="I20" i="4"/>
  <c r="J20" i="4" s="1"/>
  <c r="I19" i="4"/>
  <c r="J19" i="4" s="1"/>
  <c r="I18" i="4"/>
  <c r="J18" i="4" s="1"/>
  <c r="I17" i="4"/>
  <c r="J17" i="4" s="1"/>
  <c r="B7" i="4"/>
  <c r="B135" i="16"/>
  <c r="B68" i="16"/>
  <c r="B102" i="16"/>
  <c r="B84" i="16"/>
  <c r="B86" i="16"/>
  <c r="B93" i="16"/>
  <c r="B89" i="16"/>
  <c r="B87" i="16"/>
  <c r="B88" i="16"/>
  <c r="B90" i="16"/>
  <c r="B91" i="16"/>
  <c r="B92" i="16"/>
  <c r="B95" i="16"/>
  <c r="B98" i="16"/>
  <c r="B96" i="16"/>
  <c r="B97" i="16"/>
  <c r="B99" i="16"/>
  <c r="B100" i="16"/>
  <c r="B101" i="16"/>
  <c r="B103" i="16"/>
  <c r="B119" i="16"/>
  <c r="B110" i="16"/>
  <c r="B106" i="16"/>
  <c r="B105" i="16"/>
  <c r="B107" i="16"/>
  <c r="B108" i="16"/>
  <c r="B109" i="16"/>
  <c r="B111" i="16"/>
  <c r="B115" i="16"/>
  <c r="B112" i="16"/>
  <c r="B113" i="16"/>
  <c r="B116" i="16"/>
  <c r="B117" i="16"/>
  <c r="B118" i="16"/>
  <c r="B120" i="16"/>
  <c r="B127" i="16"/>
  <c r="B123" i="16"/>
  <c r="B121" i="16"/>
  <c r="B122" i="16"/>
  <c r="B124" i="16"/>
  <c r="R7" i="9"/>
  <c r="S59" i="9"/>
  <c r="R59" i="9"/>
  <c r="B158" i="16"/>
  <c r="B157" i="16"/>
  <c r="I149" i="16"/>
  <c r="H149" i="16"/>
  <c r="H150" i="16"/>
  <c r="I150" i="16"/>
  <c r="H151" i="16"/>
  <c r="I151" i="16"/>
  <c r="H152" i="16"/>
  <c r="I152" i="16"/>
  <c r="H153" i="16"/>
  <c r="I153" i="16"/>
  <c r="H154" i="16"/>
  <c r="I154" i="16"/>
  <c r="I155" i="16"/>
  <c r="H156" i="16"/>
  <c r="I156" i="16"/>
  <c r="I157" i="16"/>
  <c r="H158" i="16"/>
  <c r="I158" i="16"/>
  <c r="I148" i="16"/>
  <c r="H148" i="16"/>
  <c r="I147" i="16"/>
  <c r="H147" i="16"/>
  <c r="I146" i="16"/>
  <c r="H146" i="16"/>
  <c r="I145" i="16"/>
  <c r="H145" i="16"/>
  <c r="I144" i="16"/>
  <c r="H144" i="16"/>
  <c r="I136" i="16"/>
  <c r="H136" i="16"/>
  <c r="I135" i="16"/>
  <c r="H135" i="16"/>
  <c r="I138" i="16"/>
  <c r="H138" i="16"/>
  <c r="I134" i="16"/>
  <c r="H134" i="16"/>
  <c r="I133" i="16"/>
  <c r="H133" i="16"/>
  <c r="I132" i="16"/>
  <c r="H132" i="16"/>
  <c r="I140" i="16"/>
  <c r="H140" i="16"/>
  <c r="I139" i="16"/>
  <c r="I131" i="16"/>
  <c r="H131" i="16"/>
  <c r="I130" i="16"/>
  <c r="H130" i="16"/>
  <c r="I129" i="16"/>
  <c r="H129" i="16"/>
  <c r="I128" i="16"/>
  <c r="H128" i="16"/>
  <c r="I127" i="16"/>
  <c r="H127" i="16"/>
  <c r="I29" i="16"/>
  <c r="H29" i="16"/>
  <c r="I28" i="16"/>
  <c r="H28" i="16"/>
  <c r="B41" i="16"/>
  <c r="B34" i="16"/>
  <c r="B40" i="16"/>
  <c r="B39" i="16"/>
  <c r="B38" i="16"/>
  <c r="B36" i="16"/>
  <c r="B35" i="16"/>
  <c r="B27" i="16"/>
  <c r="B33" i="16"/>
  <c r="B32" i="16"/>
  <c r="B31" i="16"/>
  <c r="B29" i="16"/>
  <c r="B28" i="16"/>
  <c r="I34" i="16"/>
  <c r="H34" i="16"/>
  <c r="I40" i="16"/>
  <c r="H40" i="16"/>
  <c r="I39" i="16"/>
  <c r="H39" i="16"/>
  <c r="I38" i="16"/>
  <c r="H38" i="16"/>
  <c r="I36" i="16"/>
  <c r="H36" i="16"/>
  <c r="I35" i="16"/>
  <c r="H35" i="16"/>
  <c r="I27" i="16"/>
  <c r="H27" i="16"/>
  <c r="I33" i="16"/>
  <c r="H33" i="16"/>
  <c r="I32" i="16"/>
  <c r="H32" i="16"/>
  <c r="I31" i="16"/>
  <c r="H31" i="16"/>
  <c r="J25" i="16"/>
  <c r="Y999" i="7"/>
  <c r="AC999" i="7" s="1"/>
  <c r="AA999" i="7"/>
  <c r="Y998" i="7"/>
  <c r="AC998" i="7" s="1"/>
  <c r="AD998" i="7"/>
  <c r="AB998" i="7"/>
  <c r="AA998" i="7"/>
  <c r="Y997" i="7"/>
  <c r="AA997" i="7" s="1"/>
  <c r="AC997" i="7"/>
  <c r="Y996" i="7"/>
  <c r="AD996" i="7"/>
  <c r="AC996" i="7"/>
  <c r="AB996" i="7"/>
  <c r="AA996" i="7"/>
  <c r="Y995" i="7"/>
  <c r="AA995" i="7" s="1"/>
  <c r="AC995" i="7"/>
  <c r="Y994" i="7"/>
  <c r="AC994" i="7" s="1"/>
  <c r="AD994" i="7"/>
  <c r="AB994" i="7"/>
  <c r="AA994" i="7"/>
  <c r="Y993" i="7"/>
  <c r="AC993" i="7" s="1"/>
  <c r="Y992" i="7"/>
  <c r="AD992" i="7"/>
  <c r="AC992" i="7"/>
  <c r="AB992" i="7"/>
  <c r="AA992" i="7"/>
  <c r="Y991" i="7"/>
  <c r="AB991" i="7" s="1"/>
  <c r="Y990" i="7"/>
  <c r="AD990" i="7" s="1"/>
  <c r="AA990" i="7"/>
  <c r="Y989" i="7"/>
  <c r="AC989" i="7" s="1"/>
  <c r="AD989" i="7"/>
  <c r="AB989" i="7"/>
  <c r="AA989" i="7"/>
  <c r="Y988" i="7"/>
  <c r="AB988" i="7" s="1"/>
  <c r="AC988" i="7"/>
  <c r="AA988" i="7"/>
  <c r="Y987" i="7"/>
  <c r="AD987" i="7"/>
  <c r="AC987" i="7"/>
  <c r="AB987" i="7"/>
  <c r="AA987" i="7"/>
  <c r="Y986" i="7"/>
  <c r="AD986" i="7" s="1"/>
  <c r="AA986" i="7"/>
  <c r="Y985" i="7"/>
  <c r="AC985" i="7" s="1"/>
  <c r="AD985" i="7"/>
  <c r="AB985" i="7"/>
  <c r="AA985" i="7"/>
  <c r="Y984" i="7"/>
  <c r="AB984" i="7" s="1"/>
  <c r="AC984" i="7"/>
  <c r="AA984" i="7"/>
  <c r="Y983" i="7"/>
  <c r="AD983" i="7"/>
  <c r="AC983" i="7"/>
  <c r="AB983" i="7"/>
  <c r="AA983" i="7"/>
  <c r="Y982" i="7"/>
  <c r="AD982" i="7" s="1"/>
  <c r="AA982" i="7"/>
  <c r="Y981" i="7"/>
  <c r="AC981" i="7" s="1"/>
  <c r="AD981" i="7"/>
  <c r="AB981" i="7"/>
  <c r="AA981" i="7"/>
  <c r="Y980" i="7"/>
  <c r="AB980" i="7" s="1"/>
  <c r="AC980" i="7"/>
  <c r="AA980" i="7"/>
  <c r="Y979" i="7"/>
  <c r="AD979" i="7"/>
  <c r="AC979" i="7"/>
  <c r="AB979" i="7"/>
  <c r="AA979" i="7"/>
  <c r="Y978" i="7"/>
  <c r="AD978" i="7" s="1"/>
  <c r="AA978" i="7"/>
  <c r="Y977" i="7"/>
  <c r="AC977" i="7" s="1"/>
  <c r="AD977" i="7"/>
  <c r="AB977" i="7"/>
  <c r="AA977" i="7"/>
  <c r="Y976" i="7"/>
  <c r="AB976" i="7" s="1"/>
  <c r="AC976" i="7"/>
  <c r="AA976" i="7"/>
  <c r="Y975" i="7"/>
  <c r="AD975" i="7"/>
  <c r="AC975" i="7"/>
  <c r="AB975" i="7"/>
  <c r="AA975" i="7"/>
  <c r="Y974" i="7"/>
  <c r="AD974" i="7" s="1"/>
  <c r="AA974" i="7"/>
  <c r="Y973" i="7"/>
  <c r="AC973" i="7" s="1"/>
  <c r="AD973" i="7"/>
  <c r="AB973" i="7"/>
  <c r="AA973" i="7"/>
  <c r="Y972" i="7"/>
  <c r="AB972" i="7" s="1"/>
  <c r="AC972" i="7"/>
  <c r="AA972" i="7"/>
  <c r="Y971" i="7"/>
  <c r="AD971" i="7"/>
  <c r="AC971" i="7"/>
  <c r="AB971" i="7"/>
  <c r="AA971" i="7"/>
  <c r="Y970" i="7"/>
  <c r="AD970" i="7" s="1"/>
  <c r="AA970" i="7"/>
  <c r="Y969" i="7"/>
  <c r="AC969" i="7" s="1"/>
  <c r="AD969" i="7"/>
  <c r="AB969" i="7"/>
  <c r="AA969" i="7"/>
  <c r="Y968" i="7"/>
  <c r="AB968" i="7" s="1"/>
  <c r="AC968" i="7"/>
  <c r="AA968" i="7"/>
  <c r="Y967" i="7"/>
  <c r="AD967" i="7"/>
  <c r="AC967" i="7"/>
  <c r="AB967" i="7"/>
  <c r="AA967" i="7"/>
  <c r="Y966" i="7"/>
  <c r="AD966" i="7" s="1"/>
  <c r="AA966" i="7"/>
  <c r="Y965" i="7"/>
  <c r="AC965" i="7" s="1"/>
  <c r="AD965" i="7"/>
  <c r="AB965" i="7"/>
  <c r="AA965" i="7"/>
  <c r="Y964" i="7"/>
  <c r="AB964" i="7" s="1"/>
  <c r="AC964" i="7"/>
  <c r="AA964" i="7"/>
  <c r="Y963" i="7"/>
  <c r="AD963" i="7"/>
  <c r="AC963" i="7"/>
  <c r="AB963" i="7"/>
  <c r="AA963" i="7"/>
  <c r="Y962" i="7"/>
  <c r="AD962" i="7" s="1"/>
  <c r="AA962" i="7"/>
  <c r="Y961" i="7"/>
  <c r="AC961" i="7" s="1"/>
  <c r="AD961" i="7"/>
  <c r="AB961" i="7"/>
  <c r="AA961" i="7"/>
  <c r="Y960" i="7"/>
  <c r="AB960" i="7" s="1"/>
  <c r="AC960" i="7"/>
  <c r="AA960" i="7"/>
  <c r="Y959" i="7"/>
  <c r="AD959" i="7"/>
  <c r="AC959" i="7"/>
  <c r="AB959" i="7"/>
  <c r="AA959" i="7"/>
  <c r="Y958" i="7"/>
  <c r="AD958" i="7" s="1"/>
  <c r="AA958" i="7"/>
  <c r="Y957" i="7"/>
  <c r="AC957" i="7" s="1"/>
  <c r="AD957" i="7"/>
  <c r="AB957" i="7"/>
  <c r="AA957" i="7"/>
  <c r="Y956" i="7"/>
  <c r="AB956" i="7" s="1"/>
  <c r="AC956" i="7"/>
  <c r="AA956" i="7"/>
  <c r="Y955" i="7"/>
  <c r="AD955" i="7"/>
  <c r="AC955" i="7"/>
  <c r="AB955" i="7"/>
  <c r="AA955" i="7"/>
  <c r="Y954" i="7"/>
  <c r="AD954" i="7" s="1"/>
  <c r="AA954" i="7"/>
  <c r="Y953" i="7"/>
  <c r="AC953" i="7" s="1"/>
  <c r="AD953" i="7"/>
  <c r="AB953" i="7"/>
  <c r="AA953" i="7"/>
  <c r="Y952" i="7"/>
  <c r="AB952" i="7" s="1"/>
  <c r="AC952" i="7"/>
  <c r="AA952" i="7"/>
  <c r="Y951" i="7"/>
  <c r="AD951" i="7"/>
  <c r="AC951" i="7"/>
  <c r="AB951" i="7"/>
  <c r="AA951" i="7"/>
  <c r="Y950" i="7"/>
  <c r="AD950" i="7" s="1"/>
  <c r="AA950" i="7"/>
  <c r="Y949" i="7"/>
  <c r="AC949" i="7" s="1"/>
  <c r="AD949" i="7"/>
  <c r="AB949" i="7"/>
  <c r="AA949" i="7"/>
  <c r="Y948" i="7"/>
  <c r="AB948" i="7" s="1"/>
  <c r="AC948" i="7"/>
  <c r="AA948" i="7"/>
  <c r="Y947" i="7"/>
  <c r="AD947" i="7"/>
  <c r="AC947" i="7"/>
  <c r="AB947" i="7"/>
  <c r="AA947" i="7"/>
  <c r="Y946" i="7"/>
  <c r="AD946" i="7" s="1"/>
  <c r="AA946" i="7"/>
  <c r="Y945" i="7"/>
  <c r="AC945" i="7" s="1"/>
  <c r="AD945" i="7"/>
  <c r="AB945" i="7"/>
  <c r="AA945" i="7"/>
  <c r="Y944" i="7"/>
  <c r="AB944" i="7" s="1"/>
  <c r="AC944" i="7"/>
  <c r="AA944" i="7"/>
  <c r="Y943" i="7"/>
  <c r="AD943" i="7"/>
  <c r="AC943" i="7"/>
  <c r="AB943" i="7"/>
  <c r="AA943" i="7"/>
  <c r="Y942" i="7"/>
  <c r="AD942" i="7" s="1"/>
  <c r="AA942" i="7"/>
  <c r="Y941" i="7"/>
  <c r="AC941" i="7" s="1"/>
  <c r="AD941" i="7"/>
  <c r="AB941" i="7"/>
  <c r="AA941" i="7"/>
  <c r="Y940" i="7"/>
  <c r="AB940" i="7" s="1"/>
  <c r="AC940" i="7"/>
  <c r="AA940" i="7"/>
  <c r="Y939" i="7"/>
  <c r="AD939" i="7"/>
  <c r="AC939" i="7"/>
  <c r="AB939" i="7"/>
  <c r="AA939" i="7"/>
  <c r="Y938" i="7"/>
  <c r="AD938" i="7" s="1"/>
  <c r="AA938" i="7"/>
  <c r="Y937" i="7"/>
  <c r="AC937" i="7" s="1"/>
  <c r="AD937" i="7"/>
  <c r="AB937" i="7"/>
  <c r="AA937" i="7"/>
  <c r="Y936" i="7"/>
  <c r="AB936" i="7" s="1"/>
  <c r="AC936" i="7"/>
  <c r="AA936" i="7"/>
  <c r="Y935" i="7"/>
  <c r="AD935" i="7"/>
  <c r="AC935" i="7"/>
  <c r="AB935" i="7"/>
  <c r="AA935" i="7"/>
  <c r="Y934" i="7"/>
  <c r="AD934" i="7" s="1"/>
  <c r="AA934" i="7"/>
  <c r="Y933" i="7"/>
  <c r="AC933" i="7" s="1"/>
  <c r="AD933" i="7"/>
  <c r="AB933" i="7"/>
  <c r="AA933" i="7"/>
  <c r="Y932" i="7"/>
  <c r="AB932" i="7" s="1"/>
  <c r="AC932" i="7"/>
  <c r="AA932" i="7"/>
  <c r="Y931" i="7"/>
  <c r="AD931" i="7"/>
  <c r="AC931" i="7"/>
  <c r="AB931" i="7"/>
  <c r="AA931" i="7"/>
  <c r="Y930" i="7"/>
  <c r="AD930" i="7" s="1"/>
  <c r="AA930" i="7"/>
  <c r="Y929" i="7"/>
  <c r="AC929" i="7" s="1"/>
  <c r="AD929" i="7"/>
  <c r="AB929" i="7"/>
  <c r="AA929" i="7"/>
  <c r="Y928" i="7"/>
  <c r="AB928" i="7" s="1"/>
  <c r="AC928" i="7"/>
  <c r="AA928" i="7"/>
  <c r="Y927" i="7"/>
  <c r="AD927" i="7"/>
  <c r="AC927" i="7"/>
  <c r="AB927" i="7"/>
  <c r="AA927" i="7"/>
  <c r="Y926" i="7"/>
  <c r="AD926" i="7" s="1"/>
  <c r="AA926" i="7"/>
  <c r="Y925" i="7"/>
  <c r="AC925" i="7" s="1"/>
  <c r="AD925" i="7"/>
  <c r="AB925" i="7"/>
  <c r="AA925" i="7"/>
  <c r="Y924" i="7"/>
  <c r="AB924" i="7" s="1"/>
  <c r="AC924" i="7"/>
  <c r="AA924" i="7"/>
  <c r="Y923" i="7"/>
  <c r="AD923" i="7"/>
  <c r="AC923" i="7"/>
  <c r="AB923" i="7"/>
  <c r="AA923" i="7"/>
  <c r="Y922" i="7"/>
  <c r="AD922" i="7" s="1"/>
  <c r="AA922" i="7"/>
  <c r="Y921" i="7"/>
  <c r="AC921" i="7" s="1"/>
  <c r="AD921" i="7"/>
  <c r="AB921" i="7"/>
  <c r="AA921" i="7"/>
  <c r="Y920" i="7"/>
  <c r="AB920" i="7" s="1"/>
  <c r="AC920" i="7"/>
  <c r="AA920" i="7"/>
  <c r="Y919" i="7"/>
  <c r="AD919" i="7"/>
  <c r="AC919" i="7"/>
  <c r="AB919" i="7"/>
  <c r="AA919" i="7"/>
  <c r="Y918" i="7"/>
  <c r="AD918" i="7" s="1"/>
  <c r="AA918" i="7"/>
  <c r="Y917" i="7"/>
  <c r="AC917" i="7" s="1"/>
  <c r="AD917" i="7"/>
  <c r="AB917" i="7"/>
  <c r="AA917" i="7"/>
  <c r="Y916" i="7"/>
  <c r="AB916" i="7" s="1"/>
  <c r="AC916" i="7"/>
  <c r="AA916" i="7"/>
  <c r="Y915" i="7"/>
  <c r="AD915" i="7"/>
  <c r="AC915" i="7"/>
  <c r="AB915" i="7"/>
  <c r="AA915" i="7"/>
  <c r="Y914" i="7"/>
  <c r="AD914" i="7" s="1"/>
  <c r="AA914" i="7"/>
  <c r="Y913" i="7"/>
  <c r="AC913" i="7" s="1"/>
  <c r="AD913" i="7"/>
  <c r="AB913" i="7"/>
  <c r="AA913" i="7"/>
  <c r="Y912" i="7"/>
  <c r="AB912" i="7" s="1"/>
  <c r="AC912" i="7"/>
  <c r="AA912" i="7"/>
  <c r="Y911" i="7"/>
  <c r="AD911" i="7"/>
  <c r="AC911" i="7"/>
  <c r="AB911" i="7"/>
  <c r="AA911" i="7"/>
  <c r="Y910" i="7"/>
  <c r="AD910" i="7" s="1"/>
  <c r="AA910" i="7"/>
  <c r="Y909" i="7"/>
  <c r="AC909" i="7" s="1"/>
  <c r="AD909" i="7"/>
  <c r="AB909" i="7"/>
  <c r="AA909" i="7"/>
  <c r="Y908" i="7"/>
  <c r="AB908" i="7" s="1"/>
  <c r="AC908" i="7"/>
  <c r="AA908" i="7"/>
  <c r="Y907" i="7"/>
  <c r="AD907" i="7"/>
  <c r="AC907" i="7"/>
  <c r="AB907" i="7"/>
  <c r="AA907" i="7"/>
  <c r="Y906" i="7"/>
  <c r="AD906" i="7" s="1"/>
  <c r="AA906" i="7"/>
  <c r="Y905" i="7"/>
  <c r="AC905" i="7" s="1"/>
  <c r="AD905" i="7"/>
  <c r="AB905" i="7"/>
  <c r="AA905" i="7"/>
  <c r="Y904" i="7"/>
  <c r="AB904" i="7" s="1"/>
  <c r="AC904" i="7"/>
  <c r="AA904" i="7"/>
  <c r="Y903" i="7"/>
  <c r="AD903" i="7"/>
  <c r="AC903" i="7"/>
  <c r="AB903" i="7"/>
  <c r="AA903" i="7"/>
  <c r="Y902" i="7"/>
  <c r="AD902" i="7" s="1"/>
  <c r="AA902" i="7"/>
  <c r="Y901" i="7"/>
  <c r="AC901" i="7" s="1"/>
  <c r="AD901" i="7"/>
  <c r="AB901" i="7"/>
  <c r="AA901" i="7"/>
  <c r="Y900" i="7"/>
  <c r="AB900" i="7" s="1"/>
  <c r="AC900" i="7"/>
  <c r="AA900" i="7"/>
  <c r="Y899" i="7"/>
  <c r="AD899" i="7"/>
  <c r="AC899" i="7"/>
  <c r="AB899" i="7"/>
  <c r="AA899" i="7"/>
  <c r="Y898" i="7"/>
  <c r="AD898" i="7" s="1"/>
  <c r="AA898" i="7"/>
  <c r="Y897" i="7"/>
  <c r="AC897" i="7" s="1"/>
  <c r="AD897" i="7"/>
  <c r="AB897" i="7"/>
  <c r="AA897" i="7"/>
  <c r="Y896" i="7"/>
  <c r="AB896" i="7" s="1"/>
  <c r="AC896" i="7"/>
  <c r="AA896" i="7"/>
  <c r="Y895" i="7"/>
  <c r="AD895" i="7"/>
  <c r="AC895" i="7"/>
  <c r="AB895" i="7"/>
  <c r="AA895" i="7"/>
  <c r="Y894" i="7"/>
  <c r="AD894" i="7" s="1"/>
  <c r="AA894" i="7"/>
  <c r="Y893" i="7"/>
  <c r="AC893" i="7" s="1"/>
  <c r="AD893" i="7"/>
  <c r="AB893" i="7"/>
  <c r="AA893" i="7"/>
  <c r="Y892" i="7"/>
  <c r="AB892" i="7" s="1"/>
  <c r="AC892" i="7"/>
  <c r="AA892" i="7"/>
  <c r="Y891" i="7"/>
  <c r="AD891" i="7"/>
  <c r="AC891" i="7"/>
  <c r="AB891" i="7"/>
  <c r="AA891" i="7"/>
  <c r="Y890" i="7"/>
  <c r="AD890" i="7" s="1"/>
  <c r="AA890" i="7"/>
  <c r="Y889" i="7"/>
  <c r="AC889" i="7" s="1"/>
  <c r="AD889" i="7"/>
  <c r="AB889" i="7"/>
  <c r="AA889" i="7"/>
  <c r="Y888" i="7"/>
  <c r="AB888" i="7" s="1"/>
  <c r="AC888" i="7"/>
  <c r="AA888" i="7"/>
  <c r="Y887" i="7"/>
  <c r="AD887" i="7"/>
  <c r="AC887" i="7"/>
  <c r="AB887" i="7"/>
  <c r="AA887" i="7"/>
  <c r="Y886" i="7"/>
  <c r="AD886" i="7" s="1"/>
  <c r="AA886" i="7"/>
  <c r="Y885" i="7"/>
  <c r="AC885" i="7" s="1"/>
  <c r="AD885" i="7"/>
  <c r="AB885" i="7"/>
  <c r="AA885" i="7"/>
  <c r="Y884" i="7"/>
  <c r="AB884" i="7" s="1"/>
  <c r="AC884" i="7"/>
  <c r="AA884" i="7"/>
  <c r="Y883" i="7"/>
  <c r="AD883" i="7"/>
  <c r="AC883" i="7"/>
  <c r="AB883" i="7"/>
  <c r="AA883" i="7"/>
  <c r="Y882" i="7"/>
  <c r="AD882" i="7" s="1"/>
  <c r="AA882" i="7"/>
  <c r="Y881" i="7"/>
  <c r="AC881" i="7" s="1"/>
  <c r="AD881" i="7"/>
  <c r="AB881" i="7"/>
  <c r="AA881" i="7"/>
  <c r="Y880" i="7"/>
  <c r="AB880" i="7" s="1"/>
  <c r="AC880" i="7"/>
  <c r="AA880" i="7"/>
  <c r="Y879" i="7"/>
  <c r="AD879" i="7"/>
  <c r="AC879" i="7"/>
  <c r="AB879" i="7"/>
  <c r="AA879" i="7"/>
  <c r="Y878" i="7"/>
  <c r="AD878" i="7" s="1"/>
  <c r="AA878" i="7"/>
  <c r="Y877" i="7"/>
  <c r="AC877" i="7" s="1"/>
  <c r="AD877" i="7"/>
  <c r="AB877" i="7"/>
  <c r="AA877" i="7"/>
  <c r="Y876" i="7"/>
  <c r="AB876" i="7" s="1"/>
  <c r="AC876" i="7"/>
  <c r="AA876" i="7"/>
  <c r="Y875" i="7"/>
  <c r="AD875" i="7"/>
  <c r="AC875" i="7"/>
  <c r="AB875" i="7"/>
  <c r="AA875" i="7"/>
  <c r="Y874" i="7"/>
  <c r="AD874" i="7" s="1"/>
  <c r="AA874" i="7"/>
  <c r="Y873" i="7"/>
  <c r="AC873" i="7" s="1"/>
  <c r="AD873" i="7"/>
  <c r="AB873" i="7"/>
  <c r="AA873" i="7"/>
  <c r="Y872" i="7"/>
  <c r="AB872" i="7" s="1"/>
  <c r="AC872" i="7"/>
  <c r="AA872" i="7"/>
  <c r="Y871" i="7"/>
  <c r="AD871" i="7"/>
  <c r="AC871" i="7"/>
  <c r="AB871" i="7"/>
  <c r="AA871" i="7"/>
  <c r="Y870" i="7"/>
  <c r="AD870" i="7" s="1"/>
  <c r="AA870" i="7"/>
  <c r="Y869" i="7"/>
  <c r="AC869" i="7" s="1"/>
  <c r="AD869" i="7"/>
  <c r="AB869" i="7"/>
  <c r="AA869" i="7"/>
  <c r="Y868" i="7"/>
  <c r="AB868" i="7" s="1"/>
  <c r="AC868" i="7"/>
  <c r="AA868" i="7"/>
  <c r="Y867" i="7"/>
  <c r="AD867" i="7"/>
  <c r="AC867" i="7"/>
  <c r="AB867" i="7"/>
  <c r="AA867" i="7"/>
  <c r="Y866" i="7"/>
  <c r="AD866" i="7" s="1"/>
  <c r="AA866" i="7"/>
  <c r="Y865" i="7"/>
  <c r="AC865" i="7" s="1"/>
  <c r="AD865" i="7"/>
  <c r="AB865" i="7"/>
  <c r="AA865" i="7"/>
  <c r="Y864" i="7"/>
  <c r="AB864" i="7" s="1"/>
  <c r="AC864" i="7"/>
  <c r="AA864" i="7"/>
  <c r="Y863" i="7"/>
  <c r="AD863" i="7"/>
  <c r="AC863" i="7"/>
  <c r="AB863" i="7"/>
  <c r="AA863" i="7"/>
  <c r="Y862" i="7"/>
  <c r="AD862" i="7" s="1"/>
  <c r="AA862" i="7"/>
  <c r="Y861" i="7"/>
  <c r="AC861" i="7" s="1"/>
  <c r="AD861" i="7"/>
  <c r="AB861" i="7"/>
  <c r="AA861" i="7"/>
  <c r="Y860" i="7"/>
  <c r="AB860" i="7" s="1"/>
  <c r="AC860" i="7"/>
  <c r="AA860" i="7"/>
  <c r="Y859" i="7"/>
  <c r="AD859" i="7"/>
  <c r="AC859" i="7"/>
  <c r="AB859" i="7"/>
  <c r="AA859" i="7"/>
  <c r="Y858" i="7"/>
  <c r="AD858" i="7" s="1"/>
  <c r="AA858" i="7"/>
  <c r="Y857" i="7"/>
  <c r="AC857" i="7" s="1"/>
  <c r="AD857" i="7"/>
  <c r="AB857" i="7"/>
  <c r="AA857" i="7"/>
  <c r="Y856" i="7"/>
  <c r="AB856" i="7" s="1"/>
  <c r="AC856" i="7"/>
  <c r="AA856" i="7"/>
  <c r="Y855" i="7"/>
  <c r="AD855" i="7"/>
  <c r="AC855" i="7"/>
  <c r="AB855" i="7"/>
  <c r="AA855" i="7"/>
  <c r="Y854" i="7"/>
  <c r="AD854" i="7" s="1"/>
  <c r="AA854" i="7"/>
  <c r="Y853" i="7"/>
  <c r="AC853" i="7" s="1"/>
  <c r="AD853" i="7"/>
  <c r="AB853" i="7"/>
  <c r="AA853" i="7"/>
  <c r="Y852" i="7"/>
  <c r="AB852" i="7" s="1"/>
  <c r="AC852" i="7"/>
  <c r="AA852" i="7"/>
  <c r="Y851" i="7"/>
  <c r="AD851" i="7"/>
  <c r="AC851" i="7"/>
  <c r="AB851" i="7"/>
  <c r="AA851" i="7"/>
  <c r="Y850" i="7"/>
  <c r="AD850" i="7" s="1"/>
  <c r="AA850" i="7"/>
  <c r="Y849" i="7"/>
  <c r="AC849" i="7" s="1"/>
  <c r="AD849" i="7"/>
  <c r="AB849" i="7"/>
  <c r="AA849" i="7"/>
  <c r="Y848" i="7"/>
  <c r="AB848" i="7" s="1"/>
  <c r="AC848" i="7"/>
  <c r="AA848" i="7"/>
  <c r="Y847" i="7"/>
  <c r="AD847" i="7"/>
  <c r="AC847" i="7"/>
  <c r="AB847" i="7"/>
  <c r="AA847" i="7"/>
  <c r="Y846" i="7"/>
  <c r="AD846" i="7" s="1"/>
  <c r="AA846" i="7"/>
  <c r="Y845" i="7"/>
  <c r="AC845" i="7" s="1"/>
  <c r="AD845" i="7"/>
  <c r="AB845" i="7"/>
  <c r="AA845" i="7"/>
  <c r="Y844" i="7"/>
  <c r="AB844" i="7" s="1"/>
  <c r="AC844" i="7"/>
  <c r="AA844" i="7"/>
  <c r="Y843" i="7"/>
  <c r="AD843" i="7"/>
  <c r="AC843" i="7"/>
  <c r="AB843" i="7"/>
  <c r="AA843" i="7"/>
  <c r="Y842" i="7"/>
  <c r="AD842" i="7" s="1"/>
  <c r="AA842" i="7"/>
  <c r="Y841" i="7"/>
  <c r="AC841" i="7" s="1"/>
  <c r="AD841" i="7"/>
  <c r="AB841" i="7"/>
  <c r="AA841" i="7"/>
  <c r="Y840" i="7"/>
  <c r="AB840" i="7" s="1"/>
  <c r="AC840" i="7"/>
  <c r="AA840" i="7"/>
  <c r="Y839" i="7"/>
  <c r="AD839" i="7"/>
  <c r="AC839" i="7"/>
  <c r="AB839" i="7"/>
  <c r="AA839" i="7"/>
  <c r="Y838" i="7"/>
  <c r="AD838" i="7" s="1"/>
  <c r="AA838" i="7"/>
  <c r="Y837" i="7"/>
  <c r="AC837" i="7" s="1"/>
  <c r="AD837" i="7"/>
  <c r="AB837" i="7"/>
  <c r="AA837" i="7"/>
  <c r="Y836" i="7"/>
  <c r="AB836" i="7" s="1"/>
  <c r="AC836" i="7"/>
  <c r="AA836" i="7"/>
  <c r="Y835" i="7"/>
  <c r="AD835" i="7"/>
  <c r="AC835" i="7"/>
  <c r="AB835" i="7"/>
  <c r="AA835" i="7"/>
  <c r="Y834" i="7"/>
  <c r="AD834" i="7" s="1"/>
  <c r="AA834" i="7"/>
  <c r="Y833" i="7"/>
  <c r="AC833" i="7" s="1"/>
  <c r="AD833" i="7"/>
  <c r="AB833" i="7"/>
  <c r="AA833" i="7"/>
  <c r="Y832" i="7"/>
  <c r="AB832" i="7" s="1"/>
  <c r="AC832" i="7"/>
  <c r="AA832" i="7"/>
  <c r="Y831" i="7"/>
  <c r="AD831" i="7"/>
  <c r="AC831" i="7"/>
  <c r="AB831" i="7"/>
  <c r="AA831" i="7"/>
  <c r="Y830" i="7"/>
  <c r="AA830" i="7" s="1"/>
  <c r="Y829" i="7"/>
  <c r="AC829" i="7" s="1"/>
  <c r="AD829" i="7"/>
  <c r="AB829" i="7"/>
  <c r="AA829" i="7"/>
  <c r="Y828" i="7"/>
  <c r="AB828" i="7" s="1"/>
  <c r="AC828" i="7"/>
  <c r="AA828" i="7"/>
  <c r="Y827" i="7"/>
  <c r="AD827" i="7"/>
  <c r="AC827" i="7"/>
  <c r="AB827" i="7"/>
  <c r="AA827" i="7"/>
  <c r="Y826" i="7"/>
  <c r="Y825" i="7"/>
  <c r="AC825" i="7" s="1"/>
  <c r="AD825" i="7"/>
  <c r="AB825" i="7"/>
  <c r="AA825" i="7"/>
  <c r="Y824" i="7"/>
  <c r="AB824" i="7" s="1"/>
  <c r="AC824" i="7"/>
  <c r="AA824" i="7"/>
  <c r="Y823" i="7"/>
  <c r="AD823" i="7"/>
  <c r="AC823" i="7"/>
  <c r="AB823" i="7"/>
  <c r="AA823" i="7"/>
  <c r="Y822" i="7"/>
  <c r="AA822" i="7" s="1"/>
  <c r="Y821" i="7"/>
  <c r="AC821" i="7" s="1"/>
  <c r="AD821" i="7"/>
  <c r="AB821" i="7"/>
  <c r="AA821" i="7"/>
  <c r="Y820" i="7"/>
  <c r="AB820" i="7" s="1"/>
  <c r="AC820" i="7"/>
  <c r="AA820" i="7"/>
  <c r="Y819" i="7"/>
  <c r="AD819" i="7"/>
  <c r="AC819" i="7"/>
  <c r="AB819" i="7"/>
  <c r="AA819" i="7"/>
  <c r="Y818" i="7"/>
  <c r="Y817" i="7"/>
  <c r="AC817" i="7" s="1"/>
  <c r="AD817" i="7"/>
  <c r="AB817" i="7"/>
  <c r="AA817" i="7"/>
  <c r="Y816" i="7"/>
  <c r="AB816" i="7" s="1"/>
  <c r="AC816" i="7"/>
  <c r="AA816" i="7"/>
  <c r="Y815" i="7"/>
  <c r="AD815" i="7"/>
  <c r="AC815" i="7"/>
  <c r="AB815" i="7"/>
  <c r="AA815" i="7"/>
  <c r="Y814" i="7"/>
  <c r="AA814" i="7" s="1"/>
  <c r="Y813" i="7"/>
  <c r="AC813" i="7" s="1"/>
  <c r="AD813" i="7"/>
  <c r="AB813" i="7"/>
  <c r="AA813" i="7"/>
  <c r="Y812" i="7"/>
  <c r="AB812" i="7" s="1"/>
  <c r="AC812" i="7"/>
  <c r="AA812" i="7"/>
  <c r="Y811" i="7"/>
  <c r="AD811" i="7"/>
  <c r="AC811" i="7"/>
  <c r="AB811" i="7"/>
  <c r="AA811" i="7"/>
  <c r="Y810" i="7"/>
  <c r="Y809" i="7"/>
  <c r="AC809" i="7" s="1"/>
  <c r="AD809" i="7"/>
  <c r="AB809" i="7"/>
  <c r="AA809" i="7"/>
  <c r="Y808" i="7"/>
  <c r="AB808" i="7" s="1"/>
  <c r="AC808" i="7"/>
  <c r="AA808" i="7"/>
  <c r="Y807" i="7"/>
  <c r="AD807" i="7"/>
  <c r="AC807" i="7"/>
  <c r="AB807" i="7"/>
  <c r="AA807" i="7"/>
  <c r="Y806" i="7"/>
  <c r="AA806" i="7" s="1"/>
  <c r="Y805" i="7"/>
  <c r="AC805" i="7" s="1"/>
  <c r="AD805" i="7"/>
  <c r="AB805" i="7"/>
  <c r="AA805" i="7"/>
  <c r="Y804" i="7"/>
  <c r="AB804" i="7" s="1"/>
  <c r="AC804" i="7"/>
  <c r="AA804" i="7"/>
  <c r="Y803" i="7"/>
  <c r="AD803" i="7"/>
  <c r="AC803" i="7"/>
  <c r="AB803" i="7"/>
  <c r="AA803" i="7"/>
  <c r="Y802" i="7"/>
  <c r="Y801" i="7"/>
  <c r="AC801" i="7" s="1"/>
  <c r="AD801" i="7"/>
  <c r="AB801" i="7"/>
  <c r="AA801" i="7"/>
  <c r="Y800" i="7"/>
  <c r="AB800" i="7" s="1"/>
  <c r="AC800" i="7"/>
  <c r="AA800" i="7"/>
  <c r="Y799" i="7"/>
  <c r="AD799" i="7"/>
  <c r="AC799" i="7"/>
  <c r="AB799" i="7"/>
  <c r="AA799" i="7"/>
  <c r="Y798" i="7"/>
  <c r="AA798" i="7" s="1"/>
  <c r="Y797" i="7"/>
  <c r="AC797" i="7" s="1"/>
  <c r="AD797" i="7"/>
  <c r="AB797" i="7"/>
  <c r="AA797" i="7"/>
  <c r="Y796" i="7"/>
  <c r="AB796" i="7" s="1"/>
  <c r="AC796" i="7"/>
  <c r="AA796" i="7"/>
  <c r="Y795" i="7"/>
  <c r="AD795" i="7"/>
  <c r="AC795" i="7"/>
  <c r="AB795" i="7"/>
  <c r="AA795" i="7"/>
  <c r="Y794" i="7"/>
  <c r="Y793" i="7"/>
  <c r="AC793" i="7" s="1"/>
  <c r="AD793" i="7"/>
  <c r="AB793" i="7"/>
  <c r="AA793" i="7"/>
  <c r="Y792" i="7"/>
  <c r="AB792" i="7" s="1"/>
  <c r="AC792" i="7"/>
  <c r="AA792" i="7"/>
  <c r="Y791" i="7"/>
  <c r="AD791" i="7"/>
  <c r="AC791" i="7"/>
  <c r="AB791" i="7"/>
  <c r="AA791" i="7"/>
  <c r="Y790" i="7"/>
  <c r="AA790" i="7" s="1"/>
  <c r="Y789" i="7"/>
  <c r="AC789" i="7" s="1"/>
  <c r="AD789" i="7"/>
  <c r="AB789" i="7"/>
  <c r="AA789" i="7"/>
  <c r="Y788" i="7"/>
  <c r="AB788" i="7" s="1"/>
  <c r="AC788" i="7"/>
  <c r="AA788" i="7"/>
  <c r="Y787" i="7"/>
  <c r="AD787" i="7"/>
  <c r="AC787" i="7"/>
  <c r="AB787" i="7"/>
  <c r="AA787" i="7"/>
  <c r="Y786" i="7"/>
  <c r="AA786" i="7"/>
  <c r="Y785" i="7"/>
  <c r="AC785" i="7" s="1"/>
  <c r="AD785" i="7"/>
  <c r="AB785" i="7"/>
  <c r="AA785" i="7"/>
  <c r="Y784" i="7"/>
  <c r="AC784" i="7"/>
  <c r="Y783" i="7"/>
  <c r="AD783" i="7"/>
  <c r="AC783" i="7"/>
  <c r="AB783" i="7"/>
  <c r="AA783" i="7"/>
  <c r="Y782" i="7"/>
  <c r="AC782" i="7"/>
  <c r="Y781" i="7"/>
  <c r="AC781" i="7" s="1"/>
  <c r="AD781" i="7"/>
  <c r="AB781" i="7"/>
  <c r="AA781" i="7"/>
  <c r="Y780" i="7"/>
  <c r="AC780" i="7" s="1"/>
  <c r="Y779" i="7"/>
  <c r="AD779" i="7"/>
  <c r="AC779" i="7"/>
  <c r="AB779" i="7"/>
  <c r="AA779" i="7"/>
  <c r="Y778" i="7"/>
  <c r="AC778" i="7" s="1"/>
  <c r="Y777" i="7"/>
  <c r="AC777" i="7" s="1"/>
  <c r="AD777" i="7"/>
  <c r="AB777" i="7"/>
  <c r="AA777" i="7"/>
  <c r="Y776" i="7"/>
  <c r="AC776" i="7"/>
  <c r="AA776" i="7"/>
  <c r="Y775" i="7"/>
  <c r="AD775" i="7"/>
  <c r="AC775" i="7"/>
  <c r="AB775" i="7"/>
  <c r="AA775" i="7"/>
  <c r="Y774" i="7"/>
  <c r="AC774" i="7"/>
  <c r="AA774" i="7"/>
  <c r="Y773" i="7"/>
  <c r="AC773" i="7" s="1"/>
  <c r="AD773" i="7"/>
  <c r="AB773" i="7"/>
  <c r="AA773" i="7"/>
  <c r="Y772" i="7"/>
  <c r="AA772" i="7"/>
  <c r="Y771" i="7"/>
  <c r="AD771" i="7"/>
  <c r="AC771" i="7"/>
  <c r="AB771" i="7"/>
  <c r="AA771" i="7"/>
  <c r="Y770" i="7"/>
  <c r="AA770" i="7"/>
  <c r="Y769" i="7"/>
  <c r="AC769" i="7" s="1"/>
  <c r="AD769" i="7"/>
  <c r="AB769" i="7"/>
  <c r="AA769" i="7"/>
  <c r="Y768" i="7"/>
  <c r="AC768" i="7"/>
  <c r="Y767" i="7"/>
  <c r="AD767" i="7"/>
  <c r="AC767" i="7"/>
  <c r="AB767" i="7"/>
  <c r="AA767" i="7"/>
  <c r="Y766" i="7"/>
  <c r="AC766" i="7"/>
  <c r="Y765" i="7"/>
  <c r="AC765" i="7" s="1"/>
  <c r="AD765" i="7"/>
  <c r="AB765" i="7"/>
  <c r="AA765" i="7"/>
  <c r="Y764" i="7"/>
  <c r="AC764" i="7" s="1"/>
  <c r="Y763" i="7"/>
  <c r="AD763" i="7"/>
  <c r="AC763" i="7"/>
  <c r="AB763" i="7"/>
  <c r="AA763" i="7"/>
  <c r="Y762" i="7"/>
  <c r="AC762" i="7" s="1"/>
  <c r="Y761" i="7"/>
  <c r="AC761" i="7" s="1"/>
  <c r="AD761" i="7"/>
  <c r="AB761" i="7"/>
  <c r="AA761" i="7"/>
  <c r="Y760" i="7"/>
  <c r="AC760" i="7"/>
  <c r="AA760" i="7"/>
  <c r="Y759" i="7"/>
  <c r="AD759" i="7"/>
  <c r="AC759" i="7"/>
  <c r="AB759" i="7"/>
  <c r="AA759" i="7"/>
  <c r="Y758" i="7"/>
  <c r="AC758" i="7"/>
  <c r="AA758" i="7"/>
  <c r="Y757" i="7"/>
  <c r="AC757" i="7" s="1"/>
  <c r="AD757" i="7"/>
  <c r="AB757" i="7"/>
  <c r="AA757" i="7"/>
  <c r="Y756" i="7"/>
  <c r="AA756" i="7"/>
  <c r="Y755" i="7"/>
  <c r="AD755" i="7"/>
  <c r="AC755" i="7"/>
  <c r="AB755" i="7"/>
  <c r="AA755" i="7"/>
  <c r="Y754" i="7"/>
  <c r="AA754" i="7"/>
  <c r="Y753" i="7"/>
  <c r="AC753" i="7" s="1"/>
  <c r="AD753" i="7"/>
  <c r="AB753" i="7"/>
  <c r="AA753" i="7"/>
  <c r="Y752" i="7"/>
  <c r="AC752" i="7"/>
  <c r="Y751" i="7"/>
  <c r="AD751" i="7"/>
  <c r="AC751" i="7"/>
  <c r="AB751" i="7"/>
  <c r="AA751" i="7"/>
  <c r="Y750" i="7"/>
  <c r="AC750" i="7"/>
  <c r="Y749" i="7"/>
  <c r="AC749" i="7" s="1"/>
  <c r="AD749" i="7"/>
  <c r="AB749" i="7"/>
  <c r="AA749" i="7"/>
  <c r="Y748" i="7"/>
  <c r="AC748" i="7" s="1"/>
  <c r="Y747" i="7"/>
  <c r="AD747" i="7"/>
  <c r="AC747" i="7"/>
  <c r="AB747" i="7"/>
  <c r="AA747" i="7"/>
  <c r="Y746" i="7"/>
  <c r="AC746" i="7" s="1"/>
  <c r="Y745" i="7"/>
  <c r="AC745" i="7" s="1"/>
  <c r="AD745" i="7"/>
  <c r="AB745" i="7"/>
  <c r="AA745" i="7"/>
  <c r="Y744" i="7"/>
  <c r="AC744" i="7"/>
  <c r="AA744" i="7"/>
  <c r="Y743" i="7"/>
  <c r="AD743" i="7"/>
  <c r="AC743" i="7"/>
  <c r="AB743" i="7"/>
  <c r="AA743" i="7"/>
  <c r="Y742" i="7"/>
  <c r="AC742" i="7"/>
  <c r="AA742" i="7"/>
  <c r="Y741" i="7"/>
  <c r="AC741" i="7" s="1"/>
  <c r="AD741" i="7"/>
  <c r="AB741" i="7"/>
  <c r="AA741" i="7"/>
  <c r="Y740" i="7"/>
  <c r="AA740" i="7"/>
  <c r="Y739" i="7"/>
  <c r="AD739" i="7"/>
  <c r="AC739" i="7"/>
  <c r="AB739" i="7"/>
  <c r="AA739" i="7"/>
  <c r="Y738" i="7"/>
  <c r="AA738" i="7"/>
  <c r="Y737" i="7"/>
  <c r="AC737" i="7" s="1"/>
  <c r="AD737" i="7"/>
  <c r="AB737" i="7"/>
  <c r="AA737" i="7"/>
  <c r="Y736" i="7"/>
  <c r="AC736" i="7"/>
  <c r="Y735" i="7"/>
  <c r="AD735" i="7"/>
  <c r="AC735" i="7"/>
  <c r="AB735" i="7"/>
  <c r="AA735" i="7"/>
  <c r="Y734" i="7"/>
  <c r="AC734" i="7"/>
  <c r="Y733" i="7"/>
  <c r="AC733" i="7" s="1"/>
  <c r="AD733" i="7"/>
  <c r="AB733" i="7"/>
  <c r="AA733" i="7"/>
  <c r="Y732" i="7"/>
  <c r="AC732" i="7" s="1"/>
  <c r="Y731" i="7"/>
  <c r="AD731" i="7"/>
  <c r="AC731" i="7"/>
  <c r="AB731" i="7"/>
  <c r="AA731" i="7"/>
  <c r="Y730" i="7"/>
  <c r="AC730" i="7" s="1"/>
  <c r="Y729" i="7"/>
  <c r="AC729" i="7" s="1"/>
  <c r="AD729" i="7"/>
  <c r="AB729" i="7"/>
  <c r="AA729" i="7"/>
  <c r="Y728" i="7"/>
  <c r="AC728" i="7"/>
  <c r="AA728" i="7"/>
  <c r="Y727" i="7"/>
  <c r="AD727" i="7"/>
  <c r="AC727" i="7"/>
  <c r="AB727" i="7"/>
  <c r="AA727" i="7"/>
  <c r="Y726" i="7"/>
  <c r="AC726" i="7"/>
  <c r="AA726" i="7"/>
  <c r="Y725" i="7"/>
  <c r="AC725" i="7" s="1"/>
  <c r="AD725" i="7"/>
  <c r="AB725" i="7"/>
  <c r="AA725" i="7"/>
  <c r="Y724" i="7"/>
  <c r="AA724" i="7"/>
  <c r="Y723" i="7"/>
  <c r="AD723" i="7"/>
  <c r="AC723" i="7"/>
  <c r="AB723" i="7"/>
  <c r="AA723" i="7"/>
  <c r="Y722" i="7"/>
  <c r="AA722" i="7"/>
  <c r="Y721" i="7"/>
  <c r="AC721" i="7" s="1"/>
  <c r="AD721" i="7"/>
  <c r="AB721" i="7"/>
  <c r="AA721" i="7"/>
  <c r="Y720" i="7"/>
  <c r="AC720" i="7"/>
  <c r="Y719" i="7"/>
  <c r="AD719" i="7"/>
  <c r="AC719" i="7"/>
  <c r="AB719" i="7"/>
  <c r="AA719" i="7"/>
  <c r="Y718" i="7"/>
  <c r="AC718" i="7"/>
  <c r="Y717" i="7"/>
  <c r="AC717" i="7" s="1"/>
  <c r="AD717" i="7"/>
  <c r="AB717" i="7"/>
  <c r="AA717" i="7"/>
  <c r="Y716" i="7"/>
  <c r="AC716" i="7" s="1"/>
  <c r="Y715" i="7"/>
  <c r="AD715" i="7"/>
  <c r="AC715" i="7"/>
  <c r="AB715" i="7"/>
  <c r="AA715" i="7"/>
  <c r="Y714" i="7"/>
  <c r="AC714" i="7" s="1"/>
  <c r="Y713" i="7"/>
  <c r="AC713" i="7" s="1"/>
  <c r="AD713" i="7"/>
  <c r="AB713" i="7"/>
  <c r="AA713" i="7"/>
  <c r="Y712" i="7"/>
  <c r="AC712" i="7"/>
  <c r="AA712" i="7"/>
  <c r="Y711" i="7"/>
  <c r="AD711" i="7"/>
  <c r="AC711" i="7"/>
  <c r="AB711" i="7"/>
  <c r="AA711" i="7"/>
  <c r="Y710" i="7"/>
  <c r="AC710" i="7"/>
  <c r="AA710" i="7"/>
  <c r="Y709" i="7"/>
  <c r="AC709" i="7" s="1"/>
  <c r="AD709" i="7"/>
  <c r="AB709" i="7"/>
  <c r="AA709" i="7"/>
  <c r="Y708" i="7"/>
  <c r="AA708" i="7"/>
  <c r="Y707" i="7"/>
  <c r="AD707" i="7"/>
  <c r="AC707" i="7"/>
  <c r="AB707" i="7"/>
  <c r="AA707" i="7"/>
  <c r="Y706" i="7"/>
  <c r="AA706" i="7"/>
  <c r="Y705" i="7"/>
  <c r="AC705" i="7" s="1"/>
  <c r="AD705" i="7"/>
  <c r="AB705" i="7"/>
  <c r="AA705" i="7"/>
  <c r="Y704" i="7"/>
  <c r="AC704" i="7"/>
  <c r="Y703" i="7"/>
  <c r="AD703" i="7"/>
  <c r="AC703" i="7"/>
  <c r="AB703" i="7"/>
  <c r="AA703" i="7"/>
  <c r="Y702" i="7"/>
  <c r="AC702" i="7"/>
  <c r="Y701" i="7"/>
  <c r="AC701" i="7" s="1"/>
  <c r="AD701" i="7"/>
  <c r="AB701" i="7"/>
  <c r="AA701" i="7"/>
  <c r="Y700" i="7"/>
  <c r="AC700" i="7" s="1"/>
  <c r="Y699" i="7"/>
  <c r="AD699" i="7"/>
  <c r="AC699" i="7"/>
  <c r="AB699" i="7"/>
  <c r="AA699" i="7"/>
  <c r="Y698" i="7"/>
  <c r="AC698" i="7" s="1"/>
  <c r="Y697" i="7"/>
  <c r="AC697" i="7" s="1"/>
  <c r="AD697" i="7"/>
  <c r="AB697" i="7"/>
  <c r="AA697" i="7"/>
  <c r="Y696" i="7"/>
  <c r="AC696" i="7"/>
  <c r="AA696" i="7"/>
  <c r="Y695" i="7"/>
  <c r="AD695" i="7"/>
  <c r="AC695" i="7"/>
  <c r="AB695" i="7"/>
  <c r="AA695" i="7"/>
  <c r="Y694" i="7"/>
  <c r="AC694" i="7"/>
  <c r="AA694" i="7"/>
  <c r="Y693" i="7"/>
  <c r="AC693" i="7" s="1"/>
  <c r="AD693" i="7"/>
  <c r="AB693" i="7"/>
  <c r="AA693" i="7"/>
  <c r="Y692" i="7"/>
  <c r="AA692" i="7"/>
  <c r="Y691" i="7"/>
  <c r="AD691" i="7"/>
  <c r="AC691" i="7"/>
  <c r="AB691" i="7"/>
  <c r="AA691" i="7"/>
  <c r="Y690" i="7"/>
  <c r="AA690" i="7"/>
  <c r="Y689" i="7"/>
  <c r="AC689" i="7" s="1"/>
  <c r="AD689" i="7"/>
  <c r="AB689" i="7"/>
  <c r="AA689" i="7"/>
  <c r="Y688" i="7"/>
  <c r="AC688" i="7"/>
  <c r="Y687" i="7"/>
  <c r="AD687" i="7"/>
  <c r="AC687" i="7"/>
  <c r="AB687" i="7"/>
  <c r="AA687" i="7"/>
  <c r="Y686" i="7"/>
  <c r="AC686" i="7"/>
  <c r="Y685" i="7"/>
  <c r="AC685" i="7" s="1"/>
  <c r="AD685" i="7"/>
  <c r="AB685" i="7"/>
  <c r="AA685" i="7"/>
  <c r="Y684" i="7"/>
  <c r="AC684" i="7" s="1"/>
  <c r="Y683" i="7"/>
  <c r="AD683" i="7"/>
  <c r="AC683" i="7"/>
  <c r="AB683" i="7"/>
  <c r="AA683" i="7"/>
  <c r="Y682" i="7"/>
  <c r="AC682" i="7" s="1"/>
  <c r="Y681" i="7"/>
  <c r="AC681" i="7" s="1"/>
  <c r="AD681" i="7"/>
  <c r="AB681" i="7"/>
  <c r="AA681" i="7"/>
  <c r="Y680" i="7"/>
  <c r="AC680" i="7"/>
  <c r="AA680" i="7"/>
  <c r="Y679" i="7"/>
  <c r="AD679" i="7"/>
  <c r="AC679" i="7"/>
  <c r="AB679" i="7"/>
  <c r="AA679" i="7"/>
  <c r="Y678" i="7"/>
  <c r="AC678" i="7"/>
  <c r="AA678" i="7"/>
  <c r="Y677" i="7"/>
  <c r="AC677" i="7" s="1"/>
  <c r="AD677" i="7"/>
  <c r="AB677" i="7"/>
  <c r="AA677" i="7"/>
  <c r="Y676" i="7"/>
  <c r="AA676" i="7"/>
  <c r="Y675" i="7"/>
  <c r="AD675" i="7"/>
  <c r="AC675" i="7"/>
  <c r="AB675" i="7"/>
  <c r="AA675" i="7"/>
  <c r="Y674" i="7"/>
  <c r="AA674" i="7"/>
  <c r="Y673" i="7"/>
  <c r="AC673" i="7" s="1"/>
  <c r="AD673" i="7"/>
  <c r="AB673" i="7"/>
  <c r="AA673" i="7"/>
  <c r="Y672" i="7"/>
  <c r="AC672" i="7"/>
  <c r="Y671" i="7"/>
  <c r="AD671" i="7"/>
  <c r="AC671" i="7"/>
  <c r="AB671" i="7"/>
  <c r="AA671" i="7"/>
  <c r="Y670" i="7"/>
  <c r="AB670" i="7" s="1"/>
  <c r="AD670" i="7"/>
  <c r="AA670" i="7"/>
  <c r="Y669" i="7"/>
  <c r="AC669" i="7" s="1"/>
  <c r="AD669" i="7"/>
  <c r="AA669" i="7"/>
  <c r="Y668" i="7"/>
  <c r="AD668" i="7" s="1"/>
  <c r="AC668" i="7"/>
  <c r="AA668" i="7"/>
  <c r="Y667" i="7"/>
  <c r="AD667" i="7"/>
  <c r="AC667" i="7"/>
  <c r="AB667" i="7"/>
  <c r="AA667" i="7"/>
  <c r="Y666" i="7"/>
  <c r="AB666" i="7" s="1"/>
  <c r="AC666" i="7"/>
  <c r="Y665" i="7"/>
  <c r="AC665" i="7" s="1"/>
  <c r="AB665" i="7"/>
  <c r="Y664" i="7"/>
  <c r="AD664" i="7" s="1"/>
  <c r="AB664" i="7"/>
  <c r="Y663" i="7"/>
  <c r="AD663" i="7"/>
  <c r="AC663" i="7"/>
  <c r="AB663" i="7"/>
  <c r="AA663" i="7"/>
  <c r="Y662" i="7"/>
  <c r="AB662" i="7" s="1"/>
  <c r="AD662" i="7"/>
  <c r="AC662" i="7"/>
  <c r="AA662" i="7"/>
  <c r="Y661" i="7"/>
  <c r="AC661" i="7" s="1"/>
  <c r="AD661" i="7"/>
  <c r="AB661" i="7"/>
  <c r="AA661" i="7"/>
  <c r="Y660" i="7"/>
  <c r="AD660" i="7" s="1"/>
  <c r="AC660" i="7"/>
  <c r="AB660" i="7"/>
  <c r="AA660" i="7"/>
  <c r="Y659" i="7"/>
  <c r="AD659" i="7"/>
  <c r="AC659" i="7"/>
  <c r="AB659" i="7"/>
  <c r="AA659" i="7"/>
  <c r="Y658" i="7"/>
  <c r="AB658" i="7" s="1"/>
  <c r="Y657" i="7"/>
  <c r="AC657" i="7" s="1"/>
  <c r="Y656" i="7"/>
  <c r="AD656" i="7" s="1"/>
  <c r="Y655" i="7"/>
  <c r="AD655" i="7"/>
  <c r="AC655" i="7"/>
  <c r="AB655" i="7"/>
  <c r="AA655" i="7"/>
  <c r="Y654" i="7"/>
  <c r="AB654" i="7" s="1"/>
  <c r="AD654" i="7"/>
  <c r="AA654" i="7"/>
  <c r="Y653" i="7"/>
  <c r="AC653" i="7" s="1"/>
  <c r="AD653" i="7"/>
  <c r="AA653" i="7"/>
  <c r="Y652" i="7"/>
  <c r="AD652" i="7" s="1"/>
  <c r="AC652" i="7"/>
  <c r="AA652" i="7"/>
  <c r="Y651" i="7"/>
  <c r="AD651" i="7"/>
  <c r="AC651" i="7"/>
  <c r="AB651" i="7"/>
  <c r="AA651" i="7"/>
  <c r="Y650" i="7"/>
  <c r="AB650" i="7" s="1"/>
  <c r="AC650" i="7"/>
  <c r="Y649" i="7"/>
  <c r="AC649" i="7" s="1"/>
  <c r="AB649" i="7"/>
  <c r="Y648" i="7"/>
  <c r="AD648" i="7" s="1"/>
  <c r="AB648" i="7"/>
  <c r="Y647" i="7"/>
  <c r="AD647" i="7"/>
  <c r="AC647" i="7"/>
  <c r="AB647" i="7"/>
  <c r="AA647" i="7"/>
  <c r="Y646" i="7"/>
  <c r="AB646" i="7" s="1"/>
  <c r="AD646" i="7"/>
  <c r="AC646" i="7"/>
  <c r="AA646" i="7"/>
  <c r="Y645" i="7"/>
  <c r="AC645" i="7" s="1"/>
  <c r="AD645" i="7"/>
  <c r="AB645" i="7"/>
  <c r="AA645" i="7"/>
  <c r="Y644" i="7"/>
  <c r="AD644" i="7" s="1"/>
  <c r="AC644" i="7"/>
  <c r="AB644" i="7"/>
  <c r="AA644" i="7"/>
  <c r="Y643" i="7"/>
  <c r="AD643" i="7"/>
  <c r="AC643" i="7"/>
  <c r="AB643" i="7"/>
  <c r="AA643" i="7"/>
  <c r="Y642" i="7"/>
  <c r="Y641" i="7"/>
  <c r="Y640" i="7"/>
  <c r="Y639" i="7"/>
  <c r="AD639" i="7"/>
  <c r="AC639" i="7"/>
  <c r="AB639" i="7"/>
  <c r="AA639" i="7"/>
  <c r="Y638" i="7"/>
  <c r="AB638" i="7" s="1"/>
  <c r="AD638" i="7"/>
  <c r="AA638" i="7"/>
  <c r="Y637" i="7"/>
  <c r="AC637" i="7" s="1"/>
  <c r="AD637" i="7"/>
  <c r="AA637" i="7"/>
  <c r="Y636" i="7"/>
  <c r="AD636" i="7" s="1"/>
  <c r="AC636" i="7"/>
  <c r="AA636" i="7"/>
  <c r="Y635" i="7"/>
  <c r="AD635" i="7"/>
  <c r="AC635" i="7"/>
  <c r="AB635" i="7"/>
  <c r="AA635" i="7"/>
  <c r="Y634" i="7"/>
  <c r="AB634" i="7" s="1"/>
  <c r="AC634" i="7"/>
  <c r="Y633" i="7"/>
  <c r="AC633" i="7" s="1"/>
  <c r="AB633" i="7"/>
  <c r="Y632" i="7"/>
  <c r="AD632" i="7" s="1"/>
  <c r="AB632" i="7"/>
  <c r="Y631" i="7"/>
  <c r="AD631" i="7"/>
  <c r="AC631" i="7"/>
  <c r="AB631" i="7"/>
  <c r="AA631" i="7"/>
  <c r="Y630" i="7"/>
  <c r="AB630" i="7" s="1"/>
  <c r="AD630" i="7"/>
  <c r="AC630" i="7"/>
  <c r="AA630" i="7"/>
  <c r="Y629" i="7"/>
  <c r="AC629" i="7" s="1"/>
  <c r="AD629" i="7"/>
  <c r="AB629" i="7"/>
  <c r="AA629" i="7"/>
  <c r="Y628" i="7"/>
  <c r="AD628" i="7" s="1"/>
  <c r="AC628" i="7"/>
  <c r="AB628" i="7"/>
  <c r="AA628" i="7"/>
  <c r="Y627" i="7"/>
  <c r="AD627" i="7"/>
  <c r="AC627" i="7"/>
  <c r="AB627" i="7"/>
  <c r="AA627" i="7"/>
  <c r="Y626" i="7"/>
  <c r="Y625" i="7"/>
  <c r="Y624" i="7"/>
  <c r="Y623" i="7"/>
  <c r="AD623" i="7"/>
  <c r="AC623" i="7"/>
  <c r="AB623" i="7"/>
  <c r="AA623" i="7"/>
  <c r="Y622" i="7"/>
  <c r="AB622" i="7" s="1"/>
  <c r="AD622" i="7"/>
  <c r="AA622" i="7"/>
  <c r="Y621" i="7"/>
  <c r="AC621" i="7" s="1"/>
  <c r="AD621" i="7"/>
  <c r="AA621" i="7"/>
  <c r="Y620" i="7"/>
  <c r="AD620" i="7" s="1"/>
  <c r="AC620" i="7"/>
  <c r="AA620" i="7"/>
  <c r="Y619" i="7"/>
  <c r="AD619" i="7"/>
  <c r="AC619" i="7"/>
  <c r="AB619" i="7"/>
  <c r="AA619" i="7"/>
  <c r="Y618" i="7"/>
  <c r="AB618" i="7" s="1"/>
  <c r="AC618" i="7"/>
  <c r="Y617" i="7"/>
  <c r="AC617" i="7" s="1"/>
  <c r="AB617" i="7"/>
  <c r="Y616" i="7"/>
  <c r="AD616" i="7" s="1"/>
  <c r="AB616" i="7"/>
  <c r="Y615" i="7"/>
  <c r="AD615" i="7"/>
  <c r="AC615" i="7"/>
  <c r="AB615" i="7"/>
  <c r="AA615" i="7"/>
  <c r="Y614" i="7"/>
  <c r="AB614" i="7" s="1"/>
  <c r="AD614" i="7"/>
  <c r="AC614" i="7"/>
  <c r="AA614" i="7"/>
  <c r="Y613" i="7"/>
  <c r="AC613" i="7" s="1"/>
  <c r="AD613" i="7"/>
  <c r="AB613" i="7"/>
  <c r="AA613" i="7"/>
  <c r="Y612" i="7"/>
  <c r="AD612" i="7" s="1"/>
  <c r="AC612" i="7"/>
  <c r="AB612" i="7"/>
  <c r="AA612" i="7"/>
  <c r="Y611" i="7"/>
  <c r="AD611" i="7"/>
  <c r="AC611" i="7"/>
  <c r="AB611" i="7"/>
  <c r="AA611" i="7"/>
  <c r="Y610" i="7"/>
  <c r="Y609" i="7"/>
  <c r="Y608" i="7"/>
  <c r="AB608" i="7"/>
  <c r="Y607" i="7"/>
  <c r="AD607" i="7"/>
  <c r="AC607" i="7"/>
  <c r="AB607" i="7"/>
  <c r="AA607" i="7"/>
  <c r="Y606" i="7"/>
  <c r="AB606" i="7" s="1"/>
  <c r="AD606" i="7"/>
  <c r="AA606" i="7"/>
  <c r="Y605" i="7"/>
  <c r="AC605" i="7" s="1"/>
  <c r="AD605" i="7"/>
  <c r="AA605" i="7"/>
  <c r="Y604" i="7"/>
  <c r="AD604" i="7" s="1"/>
  <c r="AC604" i="7"/>
  <c r="AA604" i="7"/>
  <c r="Y603" i="7"/>
  <c r="AD603" i="7"/>
  <c r="AC603" i="7"/>
  <c r="AB603" i="7"/>
  <c r="AA603" i="7"/>
  <c r="Y602" i="7"/>
  <c r="AC602" i="7"/>
  <c r="Y601" i="7"/>
  <c r="AB601" i="7" s="1"/>
  <c r="Y600" i="7"/>
  <c r="AB600" i="7"/>
  <c r="Y599" i="7"/>
  <c r="AD599" i="7"/>
  <c r="AC599" i="7"/>
  <c r="AB599" i="7"/>
  <c r="AA599" i="7"/>
  <c r="Y598" i="7"/>
  <c r="AB598" i="7" s="1"/>
  <c r="AD598" i="7"/>
  <c r="AC598" i="7"/>
  <c r="AA598" i="7"/>
  <c r="Y597" i="7"/>
  <c r="AC597" i="7" s="1"/>
  <c r="AD597" i="7"/>
  <c r="AB597" i="7"/>
  <c r="AA597" i="7"/>
  <c r="Y596" i="7"/>
  <c r="AD596" i="7" s="1"/>
  <c r="AC596" i="7"/>
  <c r="AB596" i="7"/>
  <c r="AA596" i="7"/>
  <c r="Y595" i="7"/>
  <c r="AD595" i="7"/>
  <c r="AC595" i="7"/>
  <c r="AB595" i="7"/>
  <c r="AA595" i="7"/>
  <c r="Y594" i="7"/>
  <c r="AC594" i="7"/>
  <c r="Y593" i="7"/>
  <c r="AB593" i="7" s="1"/>
  <c r="Y592" i="7"/>
  <c r="AB592" i="7"/>
  <c r="Y591" i="7"/>
  <c r="AD591" i="7"/>
  <c r="AC591" i="7"/>
  <c r="AB591" i="7"/>
  <c r="AA591" i="7"/>
  <c r="Y590" i="7"/>
  <c r="AB590" i="7" s="1"/>
  <c r="AD590" i="7"/>
  <c r="AA590" i="7"/>
  <c r="Y589" i="7"/>
  <c r="AC589" i="7" s="1"/>
  <c r="AD589" i="7"/>
  <c r="AA589" i="7"/>
  <c r="Y588" i="7"/>
  <c r="AD588" i="7" s="1"/>
  <c r="AC588" i="7"/>
  <c r="AA588" i="7"/>
  <c r="Y587" i="7"/>
  <c r="AD587" i="7"/>
  <c r="AC587" i="7"/>
  <c r="AB587" i="7"/>
  <c r="AA587" i="7"/>
  <c r="Y586" i="7"/>
  <c r="AC586" i="7" s="1"/>
  <c r="Y585" i="7"/>
  <c r="AB585" i="7"/>
  <c r="Y584" i="7"/>
  <c r="AB584" i="7" s="1"/>
  <c r="Y583" i="7"/>
  <c r="AD583" i="7"/>
  <c r="AC583" i="7"/>
  <c r="AB583" i="7"/>
  <c r="AA583" i="7"/>
  <c r="Y582" i="7"/>
  <c r="AB582" i="7" s="1"/>
  <c r="AD582" i="7"/>
  <c r="AC582" i="7"/>
  <c r="AA582" i="7"/>
  <c r="Y581" i="7"/>
  <c r="AC581" i="7" s="1"/>
  <c r="AD581" i="7"/>
  <c r="AB581" i="7"/>
  <c r="AA581" i="7"/>
  <c r="Y580" i="7"/>
  <c r="AD580" i="7" s="1"/>
  <c r="AC580" i="7"/>
  <c r="AB580" i="7"/>
  <c r="AA580" i="7"/>
  <c r="Y579" i="7"/>
  <c r="AD579" i="7"/>
  <c r="AC579" i="7"/>
  <c r="AB579" i="7"/>
  <c r="AA579" i="7"/>
  <c r="Y578" i="7"/>
  <c r="AC578" i="7" s="1"/>
  <c r="Y577" i="7"/>
  <c r="AB577" i="7"/>
  <c r="Y576" i="7"/>
  <c r="AB576" i="7" s="1"/>
  <c r="Y575" i="7"/>
  <c r="AD575" i="7"/>
  <c r="AC575" i="7"/>
  <c r="AB575" i="7"/>
  <c r="AA575" i="7"/>
  <c r="Y574" i="7"/>
  <c r="AB574" i="7" s="1"/>
  <c r="AD574" i="7"/>
  <c r="AA574" i="7"/>
  <c r="Y573" i="7"/>
  <c r="AC573" i="7" s="1"/>
  <c r="AD573" i="7"/>
  <c r="AA573" i="7"/>
  <c r="Y572" i="7"/>
  <c r="AD572" i="7" s="1"/>
  <c r="AC572" i="7"/>
  <c r="AA572" i="7"/>
  <c r="Y571" i="7"/>
  <c r="AD571" i="7"/>
  <c r="AC571" i="7"/>
  <c r="AB571" i="7"/>
  <c r="AA571" i="7"/>
  <c r="Y570" i="7"/>
  <c r="AC570" i="7" s="1"/>
  <c r="Y569" i="7"/>
  <c r="AB569" i="7"/>
  <c r="Y568" i="7"/>
  <c r="AB568" i="7" s="1"/>
  <c r="Y567" i="7"/>
  <c r="AD567" i="7"/>
  <c r="AC567" i="7"/>
  <c r="AB567" i="7"/>
  <c r="AA567" i="7"/>
  <c r="Y566" i="7"/>
  <c r="AB566" i="7" s="1"/>
  <c r="AD566" i="7"/>
  <c r="AC566" i="7"/>
  <c r="AA566" i="7"/>
  <c r="Y565" i="7"/>
  <c r="AC565" i="7" s="1"/>
  <c r="AD565" i="7"/>
  <c r="AB565" i="7"/>
  <c r="AA565" i="7"/>
  <c r="Y564" i="7"/>
  <c r="AD564" i="7" s="1"/>
  <c r="AC564" i="7"/>
  <c r="AB564" i="7"/>
  <c r="AA564" i="7"/>
  <c r="Y563" i="7"/>
  <c r="AD563" i="7"/>
  <c r="AC563" i="7"/>
  <c r="AB563" i="7"/>
  <c r="AA563" i="7"/>
  <c r="Y562" i="7"/>
  <c r="AC562" i="7" s="1"/>
  <c r="Y561" i="7"/>
  <c r="AB561" i="7"/>
  <c r="Y560" i="7"/>
  <c r="AB560" i="7" s="1"/>
  <c r="Y559" i="7"/>
  <c r="AD559" i="7"/>
  <c r="AC559" i="7"/>
  <c r="AB559" i="7"/>
  <c r="AA559" i="7"/>
  <c r="Y558" i="7"/>
  <c r="AB558" i="7" s="1"/>
  <c r="AD558" i="7"/>
  <c r="AA558" i="7"/>
  <c r="Y557" i="7"/>
  <c r="AC557" i="7" s="1"/>
  <c r="AD557" i="7"/>
  <c r="AA557" i="7"/>
  <c r="Y556" i="7"/>
  <c r="AD556" i="7" s="1"/>
  <c r="AC556" i="7"/>
  <c r="AA556" i="7"/>
  <c r="Y555" i="7"/>
  <c r="AD555" i="7"/>
  <c r="AC555" i="7"/>
  <c r="AB555" i="7"/>
  <c r="AA555" i="7"/>
  <c r="Y554" i="7"/>
  <c r="AC554" i="7"/>
  <c r="Y553" i="7"/>
  <c r="AB553" i="7" s="1"/>
  <c r="Y552" i="7"/>
  <c r="AB552" i="7"/>
  <c r="Y551" i="7"/>
  <c r="AD551" i="7"/>
  <c r="AC551" i="7"/>
  <c r="AB551" i="7"/>
  <c r="AA551" i="7"/>
  <c r="Y550" i="7"/>
  <c r="AB550" i="7" s="1"/>
  <c r="AD550" i="7"/>
  <c r="AC550" i="7"/>
  <c r="AA550" i="7"/>
  <c r="Y549" i="7"/>
  <c r="AC549" i="7" s="1"/>
  <c r="AD549" i="7"/>
  <c r="AB549" i="7"/>
  <c r="AA549" i="7"/>
  <c r="Y548" i="7"/>
  <c r="AD548" i="7" s="1"/>
  <c r="AC548" i="7"/>
  <c r="AB548" i="7"/>
  <c r="AA548" i="7"/>
  <c r="Y547" i="7"/>
  <c r="AD547" i="7"/>
  <c r="AC547" i="7"/>
  <c r="AB547" i="7"/>
  <c r="AA547" i="7"/>
  <c r="Y546" i="7"/>
  <c r="AC546" i="7"/>
  <c r="AA546" i="7"/>
  <c r="Y545" i="7"/>
  <c r="AC545" i="7" s="1"/>
  <c r="AD545" i="7"/>
  <c r="AB545" i="7"/>
  <c r="AA545" i="7"/>
  <c r="Y544" i="7"/>
  <c r="AC544" i="7" s="1"/>
  <c r="AA544" i="7"/>
  <c r="Y543" i="7"/>
  <c r="AD543" i="7"/>
  <c r="AC543" i="7"/>
  <c r="AB543" i="7"/>
  <c r="AA543" i="7"/>
  <c r="Y542" i="7"/>
  <c r="AC542" i="7" s="1"/>
  <c r="AA542" i="7"/>
  <c r="Y541" i="7"/>
  <c r="AC541" i="7" s="1"/>
  <c r="AD541" i="7"/>
  <c r="AB541" i="7"/>
  <c r="AA541" i="7"/>
  <c r="Y540" i="7"/>
  <c r="AC540" i="7" s="1"/>
  <c r="Y539" i="7"/>
  <c r="AD539" i="7"/>
  <c r="AC539" i="7"/>
  <c r="AB539" i="7"/>
  <c r="AA539" i="7"/>
  <c r="Y538" i="7"/>
  <c r="AC538" i="7" s="1"/>
  <c r="Y537" i="7"/>
  <c r="AC537" i="7" s="1"/>
  <c r="AD537" i="7"/>
  <c r="AB537" i="7"/>
  <c r="AA537" i="7"/>
  <c r="Y536" i="7"/>
  <c r="AA536" i="7" s="1"/>
  <c r="AC536" i="7"/>
  <c r="Y535" i="7"/>
  <c r="AD535" i="7"/>
  <c r="AC535" i="7"/>
  <c r="AB535" i="7"/>
  <c r="AA535" i="7"/>
  <c r="Y534" i="7"/>
  <c r="AA534" i="7" s="1"/>
  <c r="AC534" i="7"/>
  <c r="Y533" i="7"/>
  <c r="AC533" i="7" s="1"/>
  <c r="AD533" i="7"/>
  <c r="AB533" i="7"/>
  <c r="AA533" i="7"/>
  <c r="Y532" i="7"/>
  <c r="AC532" i="7"/>
  <c r="AA532" i="7"/>
  <c r="Y531" i="7"/>
  <c r="AD531" i="7"/>
  <c r="AC531" i="7"/>
  <c r="AB531" i="7"/>
  <c r="AA531" i="7"/>
  <c r="Y530" i="7"/>
  <c r="AC530" i="7"/>
  <c r="AA530" i="7"/>
  <c r="Y529" i="7"/>
  <c r="AC529" i="7" s="1"/>
  <c r="AD529" i="7"/>
  <c r="AB529" i="7"/>
  <c r="AA529" i="7"/>
  <c r="Y528" i="7"/>
  <c r="AC528" i="7" s="1"/>
  <c r="AA528" i="7"/>
  <c r="Y527" i="7"/>
  <c r="AD527" i="7"/>
  <c r="AC527" i="7"/>
  <c r="AB527" i="7"/>
  <c r="AA527" i="7"/>
  <c r="Y526" i="7"/>
  <c r="AC526" i="7" s="1"/>
  <c r="AA526" i="7"/>
  <c r="Y525" i="7"/>
  <c r="AC525" i="7" s="1"/>
  <c r="AD525" i="7"/>
  <c r="AB525" i="7"/>
  <c r="AA525" i="7"/>
  <c r="Y524" i="7"/>
  <c r="AC524" i="7" s="1"/>
  <c r="Y523" i="7"/>
  <c r="AD523" i="7"/>
  <c r="AC523" i="7"/>
  <c r="AB523" i="7"/>
  <c r="AA523" i="7"/>
  <c r="Y522" i="7"/>
  <c r="AB522" i="7" s="1"/>
  <c r="Y521" i="7"/>
  <c r="AC521" i="7" s="1"/>
  <c r="Y520" i="7"/>
  <c r="AD520" i="7" s="1"/>
  <c r="Y519" i="7"/>
  <c r="AD519" i="7"/>
  <c r="AC519" i="7"/>
  <c r="AB519" i="7"/>
  <c r="AA519" i="7"/>
  <c r="Y518" i="7"/>
  <c r="AB518" i="7" s="1"/>
  <c r="AC518" i="7"/>
  <c r="AA518" i="7"/>
  <c r="Y517" i="7"/>
  <c r="AC517" i="7" s="1"/>
  <c r="AB517" i="7"/>
  <c r="AA517" i="7"/>
  <c r="Y516" i="7"/>
  <c r="AD516" i="7" s="1"/>
  <c r="AB516" i="7"/>
  <c r="AA516" i="7"/>
  <c r="Y515" i="7"/>
  <c r="AD515" i="7"/>
  <c r="AC515" i="7"/>
  <c r="AB515" i="7"/>
  <c r="AA515" i="7"/>
  <c r="Y514" i="7"/>
  <c r="AB514" i="7" s="1"/>
  <c r="AD514" i="7"/>
  <c r="AC514" i="7"/>
  <c r="AA514" i="7"/>
  <c r="Y513" i="7"/>
  <c r="AC513" i="7" s="1"/>
  <c r="AD513" i="7"/>
  <c r="AB513" i="7"/>
  <c r="AA513" i="7"/>
  <c r="Y512" i="7"/>
  <c r="AD512" i="7" s="1"/>
  <c r="AC512" i="7"/>
  <c r="AB512" i="7"/>
  <c r="AA512" i="7"/>
  <c r="Y511" i="7"/>
  <c r="AD511" i="7"/>
  <c r="AC511" i="7"/>
  <c r="AB511" i="7"/>
  <c r="AA511" i="7"/>
  <c r="Y510" i="7"/>
  <c r="AB510" i="7" s="1"/>
  <c r="AD510" i="7"/>
  <c r="Y509" i="7"/>
  <c r="AC509" i="7" s="1"/>
  <c r="AD509" i="7"/>
  <c r="Y508" i="7"/>
  <c r="AD508" i="7" s="1"/>
  <c r="AC508" i="7"/>
  <c r="Y507" i="7"/>
  <c r="AD507" i="7"/>
  <c r="AC507" i="7"/>
  <c r="AB507" i="7"/>
  <c r="AA507" i="7"/>
  <c r="Y506" i="7"/>
  <c r="AB506" i="7" s="1"/>
  <c r="Y505" i="7"/>
  <c r="AC505" i="7" s="1"/>
  <c r="Y504" i="7"/>
  <c r="AD504" i="7" s="1"/>
  <c r="Y503" i="7"/>
  <c r="AD503" i="7"/>
  <c r="AC503" i="7"/>
  <c r="AB503" i="7"/>
  <c r="AA503" i="7"/>
  <c r="Y502" i="7"/>
  <c r="AB502" i="7" s="1"/>
  <c r="AC502" i="7"/>
  <c r="AA502" i="7"/>
  <c r="Y501" i="7"/>
  <c r="AC501" i="7" s="1"/>
  <c r="AB501" i="7"/>
  <c r="AA501" i="7"/>
  <c r="Y500" i="7"/>
  <c r="AD500" i="7" s="1"/>
  <c r="AB500" i="7"/>
  <c r="AA500" i="7"/>
  <c r="Y499" i="7"/>
  <c r="AD499" i="7"/>
  <c r="AC499" i="7"/>
  <c r="AB499" i="7"/>
  <c r="AA499" i="7"/>
  <c r="Y498" i="7"/>
  <c r="AB498" i="7" s="1"/>
  <c r="AD498" i="7"/>
  <c r="AC498" i="7"/>
  <c r="AA498" i="7"/>
  <c r="Y497" i="7"/>
  <c r="AC497" i="7" s="1"/>
  <c r="AD497" i="7"/>
  <c r="AB497" i="7"/>
  <c r="AA497" i="7"/>
  <c r="Y496" i="7"/>
  <c r="AD496" i="7" s="1"/>
  <c r="AC496" i="7"/>
  <c r="AB496" i="7"/>
  <c r="AA496" i="7"/>
  <c r="Y495" i="7"/>
  <c r="AD495" i="7"/>
  <c r="AC495" i="7"/>
  <c r="AB495" i="7"/>
  <c r="AA495" i="7"/>
  <c r="Y494" i="7"/>
  <c r="AB494" i="7" s="1"/>
  <c r="AD494" i="7"/>
  <c r="Y493" i="7"/>
  <c r="AC493" i="7" s="1"/>
  <c r="AD493" i="7"/>
  <c r="Y492" i="7"/>
  <c r="AD492" i="7" s="1"/>
  <c r="AC492" i="7"/>
  <c r="Y491" i="7"/>
  <c r="AD491" i="7"/>
  <c r="AC491" i="7"/>
  <c r="AB491" i="7"/>
  <c r="AA491" i="7"/>
  <c r="Y490" i="7"/>
  <c r="AB490" i="7" s="1"/>
  <c r="Y489" i="7"/>
  <c r="AC489" i="7" s="1"/>
  <c r="Y488" i="7"/>
  <c r="AD488" i="7" s="1"/>
  <c r="Y487" i="7"/>
  <c r="AD487" i="7"/>
  <c r="AC487" i="7"/>
  <c r="AB487" i="7"/>
  <c r="AA487" i="7"/>
  <c r="Y486" i="7"/>
  <c r="AB486" i="7" s="1"/>
  <c r="AC486" i="7"/>
  <c r="AA486" i="7"/>
  <c r="Y485" i="7"/>
  <c r="AC485" i="7" s="1"/>
  <c r="AB485" i="7"/>
  <c r="AA485" i="7"/>
  <c r="Y484" i="7"/>
  <c r="AD484" i="7" s="1"/>
  <c r="AB484" i="7"/>
  <c r="AA484" i="7"/>
  <c r="Y483" i="7"/>
  <c r="AD483" i="7"/>
  <c r="AC483" i="7"/>
  <c r="AB483" i="7"/>
  <c r="AA483" i="7"/>
  <c r="Y482" i="7"/>
  <c r="AB482" i="7" s="1"/>
  <c r="AD482" i="7"/>
  <c r="AC482" i="7"/>
  <c r="AA482" i="7"/>
  <c r="Y481" i="7"/>
  <c r="AC481" i="7" s="1"/>
  <c r="AD481" i="7"/>
  <c r="AB481" i="7"/>
  <c r="AA481" i="7"/>
  <c r="Y480" i="7"/>
  <c r="AD480" i="7" s="1"/>
  <c r="AC480" i="7"/>
  <c r="AB480" i="7"/>
  <c r="AA480" i="7"/>
  <c r="Y479" i="7"/>
  <c r="AD479" i="7"/>
  <c r="AC479" i="7"/>
  <c r="AB479" i="7"/>
  <c r="AA479" i="7"/>
  <c r="Y478" i="7"/>
  <c r="AB478" i="7" s="1"/>
  <c r="AD478" i="7"/>
  <c r="Y477" i="7"/>
  <c r="AC477" i="7" s="1"/>
  <c r="AD477" i="7"/>
  <c r="Y476" i="7"/>
  <c r="AD476" i="7" s="1"/>
  <c r="AC476" i="7"/>
  <c r="Y475" i="7"/>
  <c r="AD475" i="7"/>
  <c r="AC475" i="7"/>
  <c r="AB475" i="7"/>
  <c r="AA475" i="7"/>
  <c r="Y474" i="7"/>
  <c r="AB474" i="7" s="1"/>
  <c r="Y473" i="7"/>
  <c r="AC473" i="7" s="1"/>
  <c r="Y472" i="7"/>
  <c r="AD472" i="7" s="1"/>
  <c r="Y471" i="7"/>
  <c r="AD471" i="7"/>
  <c r="AC471" i="7"/>
  <c r="AB471" i="7"/>
  <c r="AA471" i="7"/>
  <c r="Y470" i="7"/>
  <c r="AB470" i="7" s="1"/>
  <c r="AC470" i="7"/>
  <c r="AA470" i="7"/>
  <c r="Y469" i="7"/>
  <c r="AC469" i="7" s="1"/>
  <c r="AB469" i="7"/>
  <c r="AA469" i="7"/>
  <c r="Y468" i="7"/>
  <c r="AD468" i="7" s="1"/>
  <c r="AB468" i="7"/>
  <c r="AA468" i="7"/>
  <c r="Y467" i="7"/>
  <c r="AD467" i="7"/>
  <c r="AC467" i="7"/>
  <c r="AB467" i="7"/>
  <c r="AA467" i="7"/>
  <c r="Y466" i="7"/>
  <c r="AB466" i="7" s="1"/>
  <c r="AD466" i="7"/>
  <c r="AC466" i="7"/>
  <c r="AA466" i="7"/>
  <c r="Y465" i="7"/>
  <c r="AC465" i="7" s="1"/>
  <c r="AD465" i="7"/>
  <c r="AB465" i="7"/>
  <c r="AA465" i="7"/>
  <c r="Y464" i="7"/>
  <c r="AD464" i="7"/>
  <c r="AC464" i="7"/>
  <c r="AB464" i="7"/>
  <c r="AA464" i="7"/>
  <c r="Y463" i="7"/>
  <c r="AC463" i="7" s="1"/>
  <c r="AD463" i="7"/>
  <c r="AA463" i="7"/>
  <c r="Y462" i="7"/>
  <c r="AB462" i="7" s="1"/>
  <c r="AA462" i="7"/>
  <c r="Y461" i="7"/>
  <c r="AD461" i="7" s="1"/>
  <c r="AC461" i="7"/>
  <c r="AB461" i="7"/>
  <c r="AA461" i="7"/>
  <c r="Y460" i="7"/>
  <c r="AD460" i="7"/>
  <c r="AC460" i="7"/>
  <c r="AB460" i="7"/>
  <c r="AA460" i="7"/>
  <c r="Y459" i="7"/>
  <c r="AC459" i="7" s="1"/>
  <c r="AD459" i="7"/>
  <c r="AA459" i="7"/>
  <c r="Y458" i="7"/>
  <c r="AB458" i="7" s="1"/>
  <c r="AA458" i="7"/>
  <c r="Y457" i="7"/>
  <c r="AD457" i="7" s="1"/>
  <c r="AC457" i="7"/>
  <c r="AB457" i="7"/>
  <c r="AA457" i="7"/>
  <c r="Y456" i="7"/>
  <c r="AD456" i="7"/>
  <c r="AC456" i="7"/>
  <c r="AB456" i="7"/>
  <c r="AA456" i="7"/>
  <c r="Y455" i="7"/>
  <c r="AC455" i="7" s="1"/>
  <c r="AD455" i="7"/>
  <c r="AA455" i="7"/>
  <c r="Y454" i="7"/>
  <c r="AB454" i="7" s="1"/>
  <c r="AA454" i="7"/>
  <c r="Y453" i="7"/>
  <c r="AD453" i="7" s="1"/>
  <c r="AC453" i="7"/>
  <c r="AB453" i="7"/>
  <c r="AA453" i="7"/>
  <c r="Y452" i="7"/>
  <c r="AD452" i="7"/>
  <c r="AC452" i="7"/>
  <c r="AB452" i="7"/>
  <c r="AA452" i="7"/>
  <c r="Y451" i="7"/>
  <c r="AC451" i="7" s="1"/>
  <c r="AD451" i="7"/>
  <c r="AA451" i="7"/>
  <c r="Y450" i="7"/>
  <c r="AB450" i="7" s="1"/>
  <c r="AA450" i="7"/>
  <c r="Y449" i="7"/>
  <c r="AD449" i="7" s="1"/>
  <c r="AC449" i="7"/>
  <c r="AB449" i="7"/>
  <c r="AA449" i="7"/>
  <c r="Y448" i="7"/>
  <c r="AD448" i="7"/>
  <c r="AC448" i="7"/>
  <c r="AB448" i="7"/>
  <c r="AA448" i="7"/>
  <c r="Y447" i="7"/>
  <c r="AC447" i="7" s="1"/>
  <c r="AD447" i="7"/>
  <c r="AA447" i="7"/>
  <c r="Y446" i="7"/>
  <c r="AB446" i="7" s="1"/>
  <c r="AA446" i="7"/>
  <c r="Y445" i="7"/>
  <c r="AD445" i="7" s="1"/>
  <c r="AC445" i="7"/>
  <c r="AB445" i="7"/>
  <c r="AA445" i="7"/>
  <c r="Y444" i="7"/>
  <c r="AD444" i="7"/>
  <c r="AC444" i="7"/>
  <c r="AB444" i="7"/>
  <c r="AA444" i="7"/>
  <c r="Y443" i="7"/>
  <c r="AC443" i="7" s="1"/>
  <c r="AD443" i="7"/>
  <c r="AA443" i="7"/>
  <c r="Y442" i="7"/>
  <c r="AB442" i="7" s="1"/>
  <c r="AA442" i="7"/>
  <c r="Y441" i="7"/>
  <c r="AD441" i="7" s="1"/>
  <c r="AC441" i="7"/>
  <c r="AB441" i="7"/>
  <c r="AA441" i="7"/>
  <c r="Y440" i="7"/>
  <c r="AD440" i="7"/>
  <c r="AC440" i="7"/>
  <c r="AB440" i="7"/>
  <c r="AA440" i="7"/>
  <c r="Y439" i="7"/>
  <c r="AC439" i="7" s="1"/>
  <c r="AD439" i="7"/>
  <c r="AA439" i="7"/>
  <c r="Y438" i="7"/>
  <c r="AB438" i="7" s="1"/>
  <c r="AA438" i="7"/>
  <c r="Y437" i="7"/>
  <c r="AD437" i="7" s="1"/>
  <c r="AC437" i="7"/>
  <c r="AB437" i="7"/>
  <c r="AA437" i="7"/>
  <c r="Y436" i="7"/>
  <c r="AD436" i="7"/>
  <c r="AC436" i="7"/>
  <c r="AB436" i="7"/>
  <c r="AA436" i="7"/>
  <c r="Y435" i="7"/>
  <c r="AC435" i="7" s="1"/>
  <c r="AD435" i="7"/>
  <c r="AA435" i="7"/>
  <c r="Y434" i="7"/>
  <c r="AB434" i="7" s="1"/>
  <c r="AA434" i="7"/>
  <c r="Y433" i="7"/>
  <c r="AD433" i="7" s="1"/>
  <c r="AC433" i="7"/>
  <c r="AB433" i="7"/>
  <c r="AA433" i="7"/>
  <c r="Y432" i="7"/>
  <c r="AD432" i="7"/>
  <c r="AC432" i="7"/>
  <c r="AB432" i="7"/>
  <c r="AA432" i="7"/>
  <c r="Y431" i="7"/>
  <c r="AC431" i="7" s="1"/>
  <c r="AD431" i="7"/>
  <c r="AB431" i="7"/>
  <c r="AA431" i="7"/>
  <c r="Y430" i="7"/>
  <c r="AB430" i="7" s="1"/>
  <c r="AC430" i="7"/>
  <c r="AA430" i="7"/>
  <c r="Y429" i="7"/>
  <c r="AD429" i="7"/>
  <c r="AC429" i="7"/>
  <c r="AB429" i="7"/>
  <c r="AA429" i="7"/>
  <c r="Y428" i="7"/>
  <c r="AA428" i="7"/>
  <c r="Y427" i="7"/>
  <c r="AC427" i="7" s="1"/>
  <c r="AD427" i="7"/>
  <c r="AB427" i="7"/>
  <c r="AA427" i="7"/>
  <c r="Y426" i="7"/>
  <c r="AB426" i="7" s="1"/>
  <c r="AC426" i="7"/>
  <c r="AA426" i="7"/>
  <c r="Y425" i="7"/>
  <c r="AD425" i="7"/>
  <c r="AC425" i="7"/>
  <c r="AB425" i="7"/>
  <c r="AA425" i="7"/>
  <c r="Y424" i="7"/>
  <c r="AA424" i="7"/>
  <c r="Y423" i="7"/>
  <c r="AC423" i="7" s="1"/>
  <c r="AD423" i="7"/>
  <c r="AB423" i="7"/>
  <c r="AA423" i="7"/>
  <c r="Y422" i="7"/>
  <c r="AB422" i="7" s="1"/>
  <c r="AC422" i="7"/>
  <c r="AA422" i="7"/>
  <c r="Y421" i="7"/>
  <c r="AD421" i="7"/>
  <c r="AC421" i="7"/>
  <c r="AB421" i="7"/>
  <c r="AA421" i="7"/>
  <c r="Y420" i="7"/>
  <c r="AA420" i="7"/>
  <c r="Y419" i="7"/>
  <c r="AC419" i="7" s="1"/>
  <c r="AD419" i="7"/>
  <c r="AB419" i="7"/>
  <c r="AA419" i="7"/>
  <c r="Y418" i="7"/>
  <c r="AB418" i="7" s="1"/>
  <c r="AC418" i="7"/>
  <c r="AA418" i="7"/>
  <c r="Y417" i="7"/>
  <c r="AD417" i="7"/>
  <c r="AC417" i="7"/>
  <c r="AB417" i="7"/>
  <c r="AA417" i="7"/>
  <c r="Y416" i="7"/>
  <c r="AA416" i="7"/>
  <c r="Y415" i="7"/>
  <c r="AC415" i="7" s="1"/>
  <c r="AD415" i="7"/>
  <c r="AB415" i="7"/>
  <c r="AA415" i="7"/>
  <c r="Y414" i="7"/>
  <c r="AB414" i="7" s="1"/>
  <c r="AC414" i="7"/>
  <c r="AA414" i="7"/>
  <c r="Y413" i="7"/>
  <c r="AD413" i="7"/>
  <c r="AC413" i="7"/>
  <c r="AB413" i="7"/>
  <c r="AA413" i="7"/>
  <c r="Y412" i="7"/>
  <c r="AA412" i="7"/>
  <c r="Y411" i="7"/>
  <c r="AC411" i="7" s="1"/>
  <c r="AD411" i="7"/>
  <c r="AB411" i="7"/>
  <c r="AA411" i="7"/>
  <c r="Y410" i="7"/>
  <c r="AB410" i="7" s="1"/>
  <c r="AC410" i="7"/>
  <c r="AA410" i="7"/>
  <c r="Y409" i="7"/>
  <c r="AD409" i="7"/>
  <c r="AC409" i="7"/>
  <c r="AB409" i="7"/>
  <c r="AA409" i="7"/>
  <c r="Y408" i="7"/>
  <c r="AA408" i="7"/>
  <c r="Y407" i="7"/>
  <c r="AC407" i="7" s="1"/>
  <c r="AD407" i="7"/>
  <c r="AB407" i="7"/>
  <c r="AA407" i="7"/>
  <c r="Y406" i="7"/>
  <c r="AB406" i="7" s="1"/>
  <c r="AC406" i="7"/>
  <c r="AA406" i="7"/>
  <c r="Y405" i="7"/>
  <c r="AD405" i="7"/>
  <c r="AC405" i="7"/>
  <c r="AB405" i="7"/>
  <c r="AA405" i="7"/>
  <c r="Y404" i="7"/>
  <c r="AA404" i="7"/>
  <c r="Y403" i="7"/>
  <c r="AC403" i="7" s="1"/>
  <c r="AD403" i="7"/>
  <c r="AB403" i="7"/>
  <c r="AA403" i="7"/>
  <c r="Y402" i="7"/>
  <c r="AB402" i="7" s="1"/>
  <c r="AC402" i="7"/>
  <c r="AA402" i="7"/>
  <c r="Y401" i="7"/>
  <c r="AD401" i="7"/>
  <c r="AC401" i="7"/>
  <c r="AB401" i="7"/>
  <c r="AA401" i="7"/>
  <c r="Y400" i="7"/>
  <c r="AA400" i="7"/>
  <c r="Y399" i="7"/>
  <c r="AC399" i="7" s="1"/>
  <c r="AD399" i="7"/>
  <c r="AB399" i="7"/>
  <c r="AA399" i="7"/>
  <c r="Y398" i="7"/>
  <c r="AB398" i="7" s="1"/>
  <c r="AC398" i="7"/>
  <c r="AA398" i="7"/>
  <c r="Y397" i="7"/>
  <c r="AD397" i="7"/>
  <c r="AC397" i="7"/>
  <c r="AB397" i="7"/>
  <c r="AA397" i="7"/>
  <c r="Y396" i="7"/>
  <c r="AA396" i="7"/>
  <c r="Y395" i="7"/>
  <c r="AC395" i="7" s="1"/>
  <c r="AD395" i="7"/>
  <c r="AB395" i="7"/>
  <c r="AA395" i="7"/>
  <c r="Y394" i="7"/>
  <c r="AA394" i="7" s="1"/>
  <c r="AC394" i="7"/>
  <c r="Y393" i="7"/>
  <c r="AD393" i="7"/>
  <c r="AC393" i="7"/>
  <c r="AB393" i="7"/>
  <c r="AA393" i="7"/>
  <c r="Y392" i="7"/>
  <c r="AA392" i="7" s="1"/>
  <c r="AC392" i="7"/>
  <c r="Y391" i="7"/>
  <c r="AC391" i="7" s="1"/>
  <c r="AD391" i="7"/>
  <c r="AB391" i="7"/>
  <c r="AA391" i="7"/>
  <c r="Y390" i="7"/>
  <c r="AC390" i="7"/>
  <c r="AA390" i="7"/>
  <c r="Y389" i="7"/>
  <c r="AD389" i="7"/>
  <c r="AC389" i="7"/>
  <c r="AB389" i="7"/>
  <c r="AA389" i="7"/>
  <c r="Y388" i="7"/>
  <c r="AC388" i="7"/>
  <c r="AA388" i="7"/>
  <c r="Y387" i="7"/>
  <c r="AC387" i="7" s="1"/>
  <c r="AD387" i="7"/>
  <c r="AB387" i="7"/>
  <c r="AA387" i="7"/>
  <c r="Y386" i="7"/>
  <c r="AC386" i="7"/>
  <c r="AA386" i="7"/>
  <c r="Y385" i="7"/>
  <c r="AD385" i="7"/>
  <c r="AC385" i="7"/>
  <c r="AB385" i="7"/>
  <c r="AA385" i="7"/>
  <c r="Y384" i="7"/>
  <c r="AC384" i="7"/>
  <c r="AA384" i="7"/>
  <c r="Y383" i="7"/>
  <c r="AC383" i="7" s="1"/>
  <c r="AD383" i="7"/>
  <c r="AB383" i="7"/>
  <c r="AA383" i="7"/>
  <c r="Y382" i="7"/>
  <c r="Y381" i="7"/>
  <c r="AD381" i="7"/>
  <c r="AC381" i="7"/>
  <c r="AB381" i="7"/>
  <c r="AA381" i="7"/>
  <c r="Y380" i="7"/>
  <c r="Y379" i="7"/>
  <c r="AC379" i="7" s="1"/>
  <c r="AD379" i="7"/>
  <c r="AB379" i="7"/>
  <c r="AA379" i="7"/>
  <c r="Y378" i="7"/>
  <c r="AA378" i="7" s="1"/>
  <c r="AC378" i="7"/>
  <c r="Y377" i="7"/>
  <c r="AD377" i="7"/>
  <c r="AC377" i="7"/>
  <c r="AB377" i="7"/>
  <c r="AA377" i="7"/>
  <c r="Y376" i="7"/>
  <c r="AA376" i="7" s="1"/>
  <c r="AC376" i="7"/>
  <c r="Y375" i="7"/>
  <c r="AC375" i="7" s="1"/>
  <c r="AD375" i="7"/>
  <c r="AB375" i="7"/>
  <c r="AA375" i="7"/>
  <c r="Y374" i="7"/>
  <c r="AC374" i="7"/>
  <c r="AA374" i="7"/>
  <c r="Y373" i="7"/>
  <c r="AD373" i="7"/>
  <c r="AC373" i="7"/>
  <c r="AB373" i="7"/>
  <c r="AA373" i="7"/>
  <c r="Y372" i="7"/>
  <c r="AC372" i="7"/>
  <c r="AA372" i="7"/>
  <c r="Y371" i="7"/>
  <c r="AC371" i="7" s="1"/>
  <c r="AD371" i="7"/>
  <c r="AB371" i="7"/>
  <c r="AA371" i="7"/>
  <c r="Y370" i="7"/>
  <c r="AC370" i="7"/>
  <c r="AA370" i="7"/>
  <c r="Y369" i="7"/>
  <c r="AD369" i="7"/>
  <c r="AC369" i="7"/>
  <c r="AB369" i="7"/>
  <c r="AA369" i="7"/>
  <c r="Y368" i="7"/>
  <c r="AC368" i="7"/>
  <c r="AA368" i="7"/>
  <c r="Y367" i="7"/>
  <c r="AC367" i="7" s="1"/>
  <c r="AD367" i="7"/>
  <c r="AB367" i="7"/>
  <c r="AA367" i="7"/>
  <c r="Y366" i="7"/>
  <c r="Y365" i="7"/>
  <c r="AD365" i="7"/>
  <c r="AC365" i="7"/>
  <c r="AB365" i="7"/>
  <c r="AA365" i="7"/>
  <c r="Y364" i="7"/>
  <c r="Y363" i="7"/>
  <c r="AC363" i="7" s="1"/>
  <c r="AD363" i="7"/>
  <c r="AB363" i="7"/>
  <c r="AA363" i="7"/>
  <c r="Y362" i="7"/>
  <c r="AA362" i="7" s="1"/>
  <c r="AC362" i="7"/>
  <c r="Y361" i="7"/>
  <c r="AD361" i="7"/>
  <c r="AC361" i="7"/>
  <c r="AB361" i="7"/>
  <c r="AA361" i="7"/>
  <c r="Y360" i="7"/>
  <c r="AA360" i="7" s="1"/>
  <c r="AC360" i="7"/>
  <c r="Y359" i="7"/>
  <c r="AC359" i="7" s="1"/>
  <c r="AD359" i="7"/>
  <c r="AB359" i="7"/>
  <c r="AA359" i="7"/>
  <c r="Y358" i="7"/>
  <c r="AC358" i="7"/>
  <c r="AA358" i="7"/>
  <c r="Y357" i="7"/>
  <c r="AD357" i="7"/>
  <c r="AC357" i="7"/>
  <c r="AB357" i="7"/>
  <c r="AA357" i="7"/>
  <c r="Y356" i="7"/>
  <c r="AC356" i="7"/>
  <c r="AA356" i="7"/>
  <c r="Y355" i="7"/>
  <c r="AC355" i="7" s="1"/>
  <c r="AD355" i="7"/>
  <c r="AB355" i="7"/>
  <c r="AA355" i="7"/>
  <c r="Y354" i="7"/>
  <c r="AC354" i="7"/>
  <c r="AA354" i="7"/>
  <c r="Y353" i="7"/>
  <c r="AD353" i="7"/>
  <c r="AC353" i="7"/>
  <c r="AB353" i="7"/>
  <c r="AA353" i="7"/>
  <c r="Y352" i="7"/>
  <c r="AB352" i="7" s="1"/>
  <c r="AD352" i="7"/>
  <c r="AC352" i="7"/>
  <c r="AA352" i="7"/>
  <c r="Y351" i="7"/>
  <c r="AC351" i="7" s="1"/>
  <c r="AD351" i="7"/>
  <c r="AB351" i="7"/>
  <c r="AA351" i="7"/>
  <c r="Y350" i="7"/>
  <c r="AD350" i="7" s="1"/>
  <c r="AC350" i="7"/>
  <c r="AB350" i="7"/>
  <c r="AA350" i="7"/>
  <c r="Y349" i="7"/>
  <c r="AD349" i="7"/>
  <c r="AC349" i="7"/>
  <c r="AB349" i="7"/>
  <c r="AA349" i="7"/>
  <c r="Y348" i="7"/>
  <c r="AB348" i="7" s="1"/>
  <c r="AD348" i="7"/>
  <c r="AC348" i="7"/>
  <c r="Y347" i="7"/>
  <c r="AC347" i="7" s="1"/>
  <c r="AD347" i="7"/>
  <c r="AB347" i="7"/>
  <c r="Y346" i="7"/>
  <c r="AD346" i="7" s="1"/>
  <c r="AC346" i="7"/>
  <c r="AB346" i="7"/>
  <c r="Y345" i="7"/>
  <c r="AD345" i="7"/>
  <c r="AC345" i="7"/>
  <c r="AB345" i="7"/>
  <c r="AA345" i="7"/>
  <c r="Y344" i="7"/>
  <c r="AB344" i="7" s="1"/>
  <c r="AD344" i="7"/>
  <c r="Y343" i="7"/>
  <c r="AC343" i="7" s="1"/>
  <c r="AD343" i="7"/>
  <c r="Y342" i="7"/>
  <c r="AD342" i="7" s="1"/>
  <c r="AC342" i="7"/>
  <c r="Y341" i="7"/>
  <c r="AD341" i="7"/>
  <c r="AC341" i="7"/>
  <c r="AB341" i="7"/>
  <c r="AA341" i="7"/>
  <c r="Y340" i="7"/>
  <c r="Y339" i="7"/>
  <c r="Y338" i="7"/>
  <c r="Y337" i="7"/>
  <c r="AD337" i="7"/>
  <c r="AC337" i="7"/>
  <c r="AB337" i="7"/>
  <c r="AA337" i="7"/>
  <c r="Y336" i="7"/>
  <c r="AB336" i="7" s="1"/>
  <c r="AD336" i="7"/>
  <c r="AC336" i="7"/>
  <c r="AA336" i="7"/>
  <c r="Y335" i="7"/>
  <c r="AC335" i="7" s="1"/>
  <c r="AD335" i="7"/>
  <c r="AB335" i="7"/>
  <c r="AA335" i="7"/>
  <c r="Y334" i="7"/>
  <c r="AD334" i="7" s="1"/>
  <c r="AC334" i="7"/>
  <c r="AB334" i="7"/>
  <c r="AA334" i="7"/>
  <c r="Y333" i="7"/>
  <c r="AD333" i="7"/>
  <c r="AC333" i="7"/>
  <c r="AB333" i="7"/>
  <c r="AA333" i="7"/>
  <c r="Y332" i="7"/>
  <c r="AB332" i="7" s="1"/>
  <c r="AD332" i="7"/>
  <c r="AC332" i="7"/>
  <c r="Y331" i="7"/>
  <c r="AC331" i="7" s="1"/>
  <c r="AD331" i="7"/>
  <c r="AB331" i="7"/>
  <c r="Y330" i="7"/>
  <c r="AD330" i="7" s="1"/>
  <c r="AC330" i="7"/>
  <c r="AB330" i="7"/>
  <c r="Y329" i="7"/>
  <c r="AD329" i="7"/>
  <c r="AC329" i="7"/>
  <c r="AB329" i="7"/>
  <c r="AA329" i="7"/>
  <c r="Y328" i="7"/>
  <c r="AB328" i="7" s="1"/>
  <c r="AD328" i="7"/>
  <c r="Y327" i="7"/>
  <c r="AC327" i="7" s="1"/>
  <c r="AD327" i="7"/>
  <c r="Y326" i="7"/>
  <c r="AD326" i="7" s="1"/>
  <c r="AC326" i="7"/>
  <c r="Y325" i="7"/>
  <c r="AD325" i="7"/>
  <c r="AC325" i="7"/>
  <c r="AB325" i="7"/>
  <c r="AA325" i="7"/>
  <c r="Y324" i="7"/>
  <c r="Y323" i="7"/>
  <c r="Y322" i="7"/>
  <c r="Y321" i="7"/>
  <c r="AD321" i="7"/>
  <c r="AC321" i="7"/>
  <c r="AB321" i="7"/>
  <c r="AA321" i="7"/>
  <c r="Y320" i="7"/>
  <c r="AB320" i="7" s="1"/>
  <c r="AD320" i="7"/>
  <c r="AC320" i="7"/>
  <c r="AA320" i="7"/>
  <c r="Y319" i="7"/>
  <c r="AC319" i="7" s="1"/>
  <c r="AD319" i="7"/>
  <c r="AB319" i="7"/>
  <c r="AA319" i="7"/>
  <c r="Y318" i="7"/>
  <c r="AD318" i="7" s="1"/>
  <c r="AC318" i="7"/>
  <c r="AB318" i="7"/>
  <c r="AA318" i="7"/>
  <c r="Y317" i="7"/>
  <c r="AD317" i="7"/>
  <c r="AC317" i="7"/>
  <c r="AB317" i="7"/>
  <c r="AA317" i="7"/>
  <c r="Y316" i="7"/>
  <c r="AB316" i="7" s="1"/>
  <c r="AD316" i="7"/>
  <c r="AC316" i="7"/>
  <c r="Y315" i="7"/>
  <c r="AC315" i="7" s="1"/>
  <c r="AD315" i="7"/>
  <c r="AB315" i="7"/>
  <c r="Y314" i="7"/>
  <c r="AD314" i="7" s="1"/>
  <c r="AC314" i="7"/>
  <c r="AB314" i="7"/>
  <c r="Y313" i="7"/>
  <c r="AD313" i="7"/>
  <c r="AC313" i="7"/>
  <c r="AB313" i="7"/>
  <c r="AA313" i="7"/>
  <c r="Y312" i="7"/>
  <c r="AB312" i="7" s="1"/>
  <c r="AD312" i="7"/>
  <c r="Y311" i="7"/>
  <c r="AC311" i="7" s="1"/>
  <c r="AD311" i="7"/>
  <c r="Y310" i="7"/>
  <c r="AD310" i="7" s="1"/>
  <c r="AC310" i="7"/>
  <c r="Y309" i="7"/>
  <c r="AD309" i="7"/>
  <c r="AC309" i="7"/>
  <c r="AB309" i="7"/>
  <c r="AA309" i="7"/>
  <c r="Y308" i="7"/>
  <c r="Y307" i="7"/>
  <c r="Y306" i="7"/>
  <c r="Y305" i="7"/>
  <c r="AD305" i="7"/>
  <c r="AC305" i="7"/>
  <c r="AB305" i="7"/>
  <c r="AA305" i="7"/>
  <c r="Y304" i="7"/>
  <c r="AB304" i="7" s="1"/>
  <c r="AD304" i="7"/>
  <c r="AC304" i="7"/>
  <c r="AA304" i="7"/>
  <c r="Y303" i="7"/>
  <c r="AC303" i="7" s="1"/>
  <c r="AD303" i="7"/>
  <c r="AB303" i="7"/>
  <c r="AA303" i="7"/>
  <c r="Y302" i="7"/>
  <c r="AD302" i="7" s="1"/>
  <c r="AC302" i="7"/>
  <c r="AB302" i="7"/>
  <c r="AA302" i="7"/>
  <c r="Y301" i="7"/>
  <c r="AD301" i="7"/>
  <c r="AC301" i="7"/>
  <c r="AB301" i="7"/>
  <c r="AA301" i="7"/>
  <c r="Y300" i="7"/>
  <c r="AB300" i="7" s="1"/>
  <c r="AD300" i="7"/>
  <c r="AC300" i="7"/>
  <c r="Y299" i="7"/>
  <c r="AC299" i="7" s="1"/>
  <c r="AD299" i="7"/>
  <c r="AB299" i="7"/>
  <c r="Y298" i="7"/>
  <c r="AD298" i="7" s="1"/>
  <c r="AC298" i="7"/>
  <c r="AB298" i="7"/>
  <c r="Y297" i="7"/>
  <c r="AD297" i="7"/>
  <c r="AC297" i="7"/>
  <c r="AB297" i="7"/>
  <c r="AA297" i="7"/>
  <c r="Y296" i="7"/>
  <c r="AB296" i="7" s="1"/>
  <c r="AD296" i="7"/>
  <c r="Y295" i="7"/>
  <c r="AC295" i="7" s="1"/>
  <c r="AD295" i="7"/>
  <c r="Y294" i="7"/>
  <c r="AD294" i="7" s="1"/>
  <c r="AC294" i="7"/>
  <c r="Y293" i="7"/>
  <c r="AD293" i="7"/>
  <c r="AC293" i="7"/>
  <c r="AB293" i="7"/>
  <c r="AA293" i="7"/>
  <c r="Y292" i="7"/>
  <c r="Y291" i="7"/>
  <c r="Y290" i="7"/>
  <c r="Y289" i="7"/>
  <c r="AD289" i="7"/>
  <c r="AC289" i="7"/>
  <c r="AB289" i="7"/>
  <c r="AA289" i="7"/>
  <c r="Y288" i="7"/>
  <c r="AB288" i="7" s="1"/>
  <c r="AD288" i="7"/>
  <c r="AC288" i="7"/>
  <c r="AA288" i="7"/>
  <c r="Y287" i="7"/>
  <c r="AC287" i="7" s="1"/>
  <c r="AD287" i="7"/>
  <c r="AB287" i="7"/>
  <c r="AA287" i="7"/>
  <c r="Y286" i="7"/>
  <c r="AD286" i="7" s="1"/>
  <c r="AC286" i="7"/>
  <c r="AB286" i="7"/>
  <c r="AA286" i="7"/>
  <c r="Y285" i="7"/>
  <c r="AD285" i="7"/>
  <c r="AC285" i="7"/>
  <c r="AB285" i="7"/>
  <c r="AA285" i="7"/>
  <c r="Y284" i="7"/>
  <c r="AB284" i="7" s="1"/>
  <c r="AD284" i="7"/>
  <c r="AC284" i="7"/>
  <c r="Y283" i="7"/>
  <c r="AC283" i="7" s="1"/>
  <c r="AD283" i="7"/>
  <c r="AB283" i="7"/>
  <c r="Y282" i="7"/>
  <c r="AD282" i="7" s="1"/>
  <c r="AC282" i="7"/>
  <c r="AB282" i="7"/>
  <c r="Y281" i="7"/>
  <c r="AD281" i="7"/>
  <c r="AC281" i="7"/>
  <c r="AB281" i="7"/>
  <c r="AA281" i="7"/>
  <c r="Y280" i="7"/>
  <c r="AB280" i="7" s="1"/>
  <c r="AD280" i="7"/>
  <c r="Y279" i="7"/>
  <c r="AC279" i="7" s="1"/>
  <c r="AD279" i="7"/>
  <c r="Y278" i="7"/>
  <c r="AD278" i="7" s="1"/>
  <c r="AC278" i="7"/>
  <c r="Y277" i="7"/>
  <c r="AD277" i="7"/>
  <c r="AC277" i="7"/>
  <c r="AB277" i="7"/>
  <c r="AA277" i="7"/>
  <c r="Y276" i="7"/>
  <c r="Y275" i="7"/>
  <c r="Y274" i="7"/>
  <c r="Y273" i="7"/>
  <c r="AA273" i="7" s="1"/>
  <c r="Y272" i="7"/>
  <c r="AD272" i="7"/>
  <c r="AC272" i="7"/>
  <c r="AB272" i="7"/>
  <c r="AA272" i="7"/>
  <c r="Y271" i="7"/>
  <c r="AB271" i="7" s="1"/>
  <c r="AD271" i="7"/>
  <c r="AC271" i="7"/>
  <c r="AA271" i="7"/>
  <c r="Y270" i="7"/>
  <c r="AB270" i="7" s="1"/>
  <c r="AD270" i="7"/>
  <c r="AA270" i="7"/>
  <c r="Y269" i="7"/>
  <c r="AA269" i="7" s="1"/>
  <c r="Y268" i="7"/>
  <c r="AD268" i="7"/>
  <c r="AC268" i="7"/>
  <c r="AB268" i="7"/>
  <c r="AA268" i="7"/>
  <c r="Y267" i="7"/>
  <c r="AB267" i="7" s="1"/>
  <c r="AD267" i="7"/>
  <c r="AC267" i="7"/>
  <c r="AA267" i="7"/>
  <c r="Y266" i="7"/>
  <c r="AB266" i="7" s="1"/>
  <c r="AD266" i="7"/>
  <c r="AA266" i="7"/>
  <c r="Y265" i="7"/>
  <c r="AA265" i="7" s="1"/>
  <c r="Y264" i="7"/>
  <c r="AD264" i="7"/>
  <c r="AC264" i="7"/>
  <c r="AB264" i="7"/>
  <c r="AA264" i="7"/>
  <c r="Y263" i="7"/>
  <c r="AB263" i="7" s="1"/>
  <c r="AD263" i="7"/>
  <c r="AC263" i="7"/>
  <c r="AA263" i="7"/>
  <c r="Y262" i="7"/>
  <c r="AB262" i="7" s="1"/>
  <c r="AD262" i="7"/>
  <c r="AA262" i="7"/>
  <c r="Y261" i="7"/>
  <c r="AA261" i="7" s="1"/>
  <c r="Y260" i="7"/>
  <c r="AD260" i="7"/>
  <c r="AC260" i="7"/>
  <c r="AB260" i="7"/>
  <c r="AA260" i="7"/>
  <c r="Y259" i="7"/>
  <c r="AB259" i="7" s="1"/>
  <c r="AD259" i="7"/>
  <c r="AC259" i="7"/>
  <c r="AA259" i="7"/>
  <c r="Y258" i="7"/>
  <c r="AB258" i="7" s="1"/>
  <c r="AD258" i="7"/>
  <c r="AA258" i="7"/>
  <c r="Y257" i="7"/>
  <c r="AA257" i="7" s="1"/>
  <c r="Y256" i="7"/>
  <c r="AD256" i="7"/>
  <c r="AC256" i="7"/>
  <c r="AB256" i="7"/>
  <c r="AA256" i="7"/>
  <c r="Y255" i="7"/>
  <c r="AB255" i="7" s="1"/>
  <c r="AD255" i="7"/>
  <c r="AC255" i="7"/>
  <c r="AA255" i="7"/>
  <c r="Y254" i="7"/>
  <c r="AB254" i="7" s="1"/>
  <c r="AD254" i="7"/>
  <c r="AA254" i="7"/>
  <c r="Y253" i="7"/>
  <c r="AA253" i="7" s="1"/>
  <c r="Y252" i="7"/>
  <c r="AD252" i="7"/>
  <c r="AC252" i="7"/>
  <c r="AB252" i="7"/>
  <c r="AA252" i="7"/>
  <c r="Y251" i="7"/>
  <c r="AB251" i="7" s="1"/>
  <c r="AD251" i="7"/>
  <c r="AC251" i="7"/>
  <c r="AA251" i="7"/>
  <c r="Y250" i="7"/>
  <c r="AB250" i="7" s="1"/>
  <c r="AD250" i="7"/>
  <c r="AA250" i="7"/>
  <c r="Y249" i="7"/>
  <c r="AA249" i="7" s="1"/>
  <c r="Y248" i="7"/>
  <c r="AD248" i="7"/>
  <c r="AC248" i="7"/>
  <c r="AB248" i="7"/>
  <c r="AA248" i="7"/>
  <c r="Y247" i="7"/>
  <c r="AB247" i="7" s="1"/>
  <c r="AD247" i="7"/>
  <c r="AC247" i="7"/>
  <c r="AA247" i="7"/>
  <c r="Y246" i="7"/>
  <c r="AB246" i="7" s="1"/>
  <c r="AD246" i="7"/>
  <c r="AA246" i="7"/>
  <c r="Y245" i="7"/>
  <c r="AA245" i="7" s="1"/>
  <c r="Y244" i="7"/>
  <c r="AD244" i="7"/>
  <c r="AC244" i="7"/>
  <c r="AB244" i="7"/>
  <c r="AA244" i="7"/>
  <c r="Y243" i="7"/>
  <c r="AB243" i="7" s="1"/>
  <c r="AD243" i="7"/>
  <c r="AC243" i="7"/>
  <c r="AA243" i="7"/>
  <c r="Y242" i="7"/>
  <c r="AB242" i="7" s="1"/>
  <c r="AD242" i="7"/>
  <c r="AA242" i="7"/>
  <c r="Y241" i="7"/>
  <c r="AA241" i="7" s="1"/>
  <c r="Y240" i="7"/>
  <c r="AD240" i="7"/>
  <c r="AC240" i="7"/>
  <c r="AB240" i="7"/>
  <c r="AA240" i="7"/>
  <c r="Y239" i="7"/>
  <c r="AB239" i="7" s="1"/>
  <c r="AD239" i="7"/>
  <c r="AC239" i="7"/>
  <c r="AA239" i="7"/>
  <c r="Y238" i="7"/>
  <c r="AB238" i="7" s="1"/>
  <c r="AD238" i="7"/>
  <c r="AA238" i="7"/>
  <c r="Y237" i="7"/>
  <c r="AA237" i="7"/>
  <c r="Y236" i="7"/>
  <c r="AD236" i="7"/>
  <c r="AC236" i="7"/>
  <c r="AB236" i="7"/>
  <c r="AA236" i="7"/>
  <c r="Y235" i="7"/>
  <c r="AB235" i="7" s="1"/>
  <c r="AD235" i="7"/>
  <c r="AC235" i="7"/>
  <c r="AA235" i="7"/>
  <c r="Y234" i="7"/>
  <c r="AB234" i="7" s="1"/>
  <c r="AD234" i="7"/>
  <c r="AA234" i="7"/>
  <c r="Y233" i="7"/>
  <c r="AA233" i="7" s="1"/>
  <c r="Y232" i="7"/>
  <c r="AD232" i="7"/>
  <c r="AC232" i="7"/>
  <c r="AB232" i="7"/>
  <c r="AA232" i="7"/>
  <c r="Y231" i="7"/>
  <c r="AB231" i="7" s="1"/>
  <c r="AD231" i="7"/>
  <c r="AC231" i="7"/>
  <c r="AA231" i="7"/>
  <c r="Y230" i="7"/>
  <c r="AB230" i="7" s="1"/>
  <c r="AD230" i="7"/>
  <c r="AA230" i="7"/>
  <c r="Y229" i="7"/>
  <c r="AA229" i="7"/>
  <c r="Y228" i="7"/>
  <c r="AD228" i="7"/>
  <c r="AC228" i="7"/>
  <c r="AB228" i="7"/>
  <c r="AA228" i="7"/>
  <c r="Y227" i="7"/>
  <c r="AB227" i="7" s="1"/>
  <c r="AD227" i="7"/>
  <c r="AC227" i="7"/>
  <c r="AA227" i="7"/>
  <c r="Y226" i="7"/>
  <c r="AB226" i="7" s="1"/>
  <c r="AD226" i="7"/>
  <c r="AA226" i="7"/>
  <c r="Y225" i="7"/>
  <c r="AA225" i="7" s="1"/>
  <c r="Y224" i="7"/>
  <c r="AD224" i="7"/>
  <c r="AC224" i="7"/>
  <c r="AB224" i="7"/>
  <c r="AA224" i="7"/>
  <c r="Y223" i="7"/>
  <c r="AB223" i="7" s="1"/>
  <c r="AD223" i="7"/>
  <c r="AC223" i="7"/>
  <c r="AA223" i="7"/>
  <c r="Y222" i="7"/>
  <c r="AB222" i="7" s="1"/>
  <c r="AD222" i="7"/>
  <c r="AA222" i="7"/>
  <c r="Y221" i="7"/>
  <c r="AA221" i="7"/>
  <c r="Y220" i="7"/>
  <c r="AD220" i="7"/>
  <c r="AC220" i="7"/>
  <c r="AB220" i="7"/>
  <c r="AA220" i="7"/>
  <c r="Y219" i="7"/>
  <c r="AB219" i="7" s="1"/>
  <c r="AD219" i="7"/>
  <c r="AC219" i="7"/>
  <c r="AA219" i="7"/>
  <c r="Y218" i="7"/>
  <c r="AB218" i="7" s="1"/>
  <c r="AD218" i="7"/>
  <c r="AA218" i="7"/>
  <c r="Y217" i="7"/>
  <c r="AA217" i="7" s="1"/>
  <c r="Y216" i="7"/>
  <c r="AD216" i="7"/>
  <c r="AC216" i="7"/>
  <c r="AB216" i="7"/>
  <c r="AA216" i="7"/>
  <c r="Y215" i="7"/>
  <c r="AB215" i="7" s="1"/>
  <c r="AD215" i="7"/>
  <c r="AC215" i="7"/>
  <c r="AA215" i="7"/>
  <c r="Y214" i="7"/>
  <c r="AB214" i="7" s="1"/>
  <c r="AD214" i="7"/>
  <c r="AA214" i="7"/>
  <c r="Y213" i="7"/>
  <c r="AA213" i="7"/>
  <c r="Y212" i="7"/>
  <c r="AD212" i="7"/>
  <c r="AC212" i="7"/>
  <c r="AB212" i="7"/>
  <c r="AA212" i="7"/>
  <c r="Y211" i="7"/>
  <c r="AB211" i="7" s="1"/>
  <c r="AD211" i="7"/>
  <c r="AC211" i="7"/>
  <c r="AA211" i="7"/>
  <c r="Y210" i="7"/>
  <c r="AB210" i="7" s="1"/>
  <c r="AD210" i="7"/>
  <c r="AA210" i="7"/>
  <c r="Y209" i="7"/>
  <c r="AA209" i="7" s="1"/>
  <c r="Y208" i="7"/>
  <c r="AD208" i="7"/>
  <c r="AC208" i="7"/>
  <c r="AB208" i="7"/>
  <c r="AA208" i="7"/>
  <c r="Y207" i="7"/>
  <c r="AB207" i="7" s="1"/>
  <c r="AD207" i="7"/>
  <c r="AC207" i="7"/>
  <c r="AA207" i="7"/>
  <c r="Y206" i="7"/>
  <c r="AB206" i="7" s="1"/>
  <c r="AD206" i="7"/>
  <c r="AA206" i="7"/>
  <c r="Y205" i="7"/>
  <c r="AA205" i="7"/>
  <c r="Y204" i="7"/>
  <c r="AD204" i="7"/>
  <c r="AC204" i="7"/>
  <c r="AB204" i="7"/>
  <c r="AA204" i="7"/>
  <c r="Y203" i="7"/>
  <c r="AB203" i="7" s="1"/>
  <c r="AD203" i="7"/>
  <c r="AC203" i="7"/>
  <c r="AA203" i="7"/>
  <c r="Y202" i="7"/>
  <c r="AB202" i="7" s="1"/>
  <c r="AD202" i="7"/>
  <c r="AA202" i="7"/>
  <c r="Y201" i="7"/>
  <c r="AA201" i="7"/>
  <c r="Y200" i="7"/>
  <c r="AD200" i="7"/>
  <c r="AC200" i="7"/>
  <c r="AB200" i="7"/>
  <c r="AA200" i="7"/>
  <c r="Y199" i="7"/>
  <c r="AB199" i="7" s="1"/>
  <c r="AD199" i="7"/>
  <c r="AC199" i="7"/>
  <c r="AA199" i="7"/>
  <c r="Y198" i="7"/>
  <c r="AB198" i="7" s="1"/>
  <c r="AD198" i="7"/>
  <c r="AA198" i="7"/>
  <c r="Y197" i="7"/>
  <c r="AA197" i="7"/>
  <c r="Y196" i="7"/>
  <c r="AD196" i="7"/>
  <c r="AC196" i="7"/>
  <c r="AB196" i="7"/>
  <c r="AA196" i="7"/>
  <c r="Y195" i="7"/>
  <c r="AB195" i="7" s="1"/>
  <c r="AD195" i="7"/>
  <c r="AC195" i="7"/>
  <c r="AA195" i="7"/>
  <c r="Y194" i="7"/>
  <c r="AB194" i="7" s="1"/>
  <c r="AD194" i="7"/>
  <c r="AA194" i="7"/>
  <c r="Y193" i="7"/>
  <c r="AA193" i="7"/>
  <c r="Y192" i="7"/>
  <c r="AD192" i="7"/>
  <c r="AC192" i="7"/>
  <c r="AB192" i="7"/>
  <c r="AA192" i="7"/>
  <c r="Y191" i="7"/>
  <c r="AB191" i="7" s="1"/>
  <c r="AD191" i="7"/>
  <c r="AC191" i="7"/>
  <c r="AA191" i="7"/>
  <c r="Y190" i="7"/>
  <c r="AB190" i="7" s="1"/>
  <c r="AD190" i="7"/>
  <c r="AA190" i="7"/>
  <c r="Y189" i="7"/>
  <c r="AA189" i="7"/>
  <c r="Y188" i="7"/>
  <c r="AD188" i="7"/>
  <c r="AC188" i="7"/>
  <c r="AB188" i="7"/>
  <c r="AA188" i="7"/>
  <c r="Y187" i="7"/>
  <c r="AB187" i="7" s="1"/>
  <c r="AD187" i="7"/>
  <c r="AC187" i="7"/>
  <c r="AA187" i="7"/>
  <c r="Y186" i="7"/>
  <c r="AB186" i="7" s="1"/>
  <c r="AD186" i="7"/>
  <c r="AA186" i="7"/>
  <c r="Y185" i="7"/>
  <c r="AA185" i="7"/>
  <c r="Y184" i="7"/>
  <c r="AD184" i="7"/>
  <c r="AC184" i="7"/>
  <c r="AB184" i="7"/>
  <c r="AA184" i="7"/>
  <c r="Y183" i="7"/>
  <c r="AB183" i="7" s="1"/>
  <c r="AD183" i="7"/>
  <c r="AC183" i="7"/>
  <c r="AA183" i="7"/>
  <c r="Y182" i="7"/>
  <c r="AB182" i="7" s="1"/>
  <c r="AD182" i="7"/>
  <c r="AA182" i="7"/>
  <c r="Y181" i="7"/>
  <c r="AA181" i="7"/>
  <c r="Y180" i="7"/>
  <c r="AD180" i="7"/>
  <c r="AC180" i="7"/>
  <c r="AB180" i="7"/>
  <c r="AA180" i="7"/>
  <c r="Y179" i="7"/>
  <c r="AB179" i="7" s="1"/>
  <c r="AD179" i="7"/>
  <c r="AC179" i="7"/>
  <c r="AA179" i="7"/>
  <c r="Y178" i="7"/>
  <c r="AB178" i="7" s="1"/>
  <c r="AD178" i="7"/>
  <c r="AA178" i="7"/>
  <c r="Y177" i="7"/>
  <c r="AA177" i="7"/>
  <c r="Y176" i="7"/>
  <c r="AD176" i="7"/>
  <c r="AC176" i="7"/>
  <c r="AB176" i="7"/>
  <c r="AA176" i="7"/>
  <c r="Y175" i="7"/>
  <c r="AB175" i="7" s="1"/>
  <c r="AD175" i="7"/>
  <c r="AC175" i="7"/>
  <c r="AA175" i="7"/>
  <c r="Y174" i="7"/>
  <c r="AB174" i="7" s="1"/>
  <c r="AD174" i="7"/>
  <c r="AA174" i="7"/>
  <c r="Y173" i="7"/>
  <c r="AA173" i="7"/>
  <c r="Y172" i="7"/>
  <c r="AD172" i="7"/>
  <c r="AC172" i="7"/>
  <c r="AB172" i="7"/>
  <c r="AA172" i="7"/>
  <c r="Y171" i="7"/>
  <c r="AB171" i="7" s="1"/>
  <c r="AD171" i="7"/>
  <c r="AC171" i="7"/>
  <c r="AA171" i="7"/>
  <c r="Y170" i="7"/>
  <c r="AB170" i="7" s="1"/>
  <c r="AD170" i="7"/>
  <c r="AA170" i="7"/>
  <c r="Y169" i="7"/>
  <c r="AA169" i="7"/>
  <c r="Y168" i="7"/>
  <c r="AD168" i="7"/>
  <c r="AC168" i="7"/>
  <c r="AB168" i="7"/>
  <c r="AA168" i="7"/>
  <c r="Y167" i="7"/>
  <c r="AB167" i="7" s="1"/>
  <c r="AD167" i="7"/>
  <c r="AC167" i="7"/>
  <c r="AA167" i="7"/>
  <c r="Y166" i="7"/>
  <c r="AB166" i="7" s="1"/>
  <c r="AD166" i="7"/>
  <c r="AA166" i="7"/>
  <c r="Y165" i="7"/>
  <c r="AA165" i="7"/>
  <c r="Y164" i="7"/>
  <c r="AD164" i="7"/>
  <c r="AC164" i="7"/>
  <c r="AB164" i="7"/>
  <c r="AA164" i="7"/>
  <c r="Y163" i="7"/>
  <c r="AB163" i="7" s="1"/>
  <c r="AD163" i="7"/>
  <c r="AC163" i="7"/>
  <c r="AA163" i="7"/>
  <c r="Y162" i="7"/>
  <c r="AB162" i="7" s="1"/>
  <c r="AD162" i="7"/>
  <c r="AA162" i="7"/>
  <c r="Y161" i="7"/>
  <c r="AA161" i="7"/>
  <c r="Y160" i="7"/>
  <c r="AD160" i="7"/>
  <c r="AC160" i="7"/>
  <c r="AB160" i="7"/>
  <c r="AA160" i="7"/>
  <c r="Y159" i="7"/>
  <c r="AB159" i="7" s="1"/>
  <c r="AD159" i="7"/>
  <c r="AC159" i="7"/>
  <c r="AA159" i="7"/>
  <c r="Y158" i="7"/>
  <c r="AB158" i="7" s="1"/>
  <c r="AD158" i="7"/>
  <c r="AA158" i="7"/>
  <c r="Y157" i="7"/>
  <c r="AA157" i="7"/>
  <c r="Y156" i="7"/>
  <c r="AD156" i="7"/>
  <c r="AC156" i="7"/>
  <c r="AB156" i="7"/>
  <c r="AA156" i="7"/>
  <c r="Y155" i="7"/>
  <c r="AB155" i="7" s="1"/>
  <c r="AD155" i="7"/>
  <c r="AC155" i="7"/>
  <c r="AA155" i="7"/>
  <c r="Y154" i="7"/>
  <c r="AB154" i="7" s="1"/>
  <c r="AD154" i="7"/>
  <c r="AA154" i="7"/>
  <c r="Y153" i="7"/>
  <c r="AA153" i="7"/>
  <c r="Y152" i="7"/>
  <c r="AD152" i="7"/>
  <c r="AC152" i="7"/>
  <c r="AB152" i="7"/>
  <c r="AA152" i="7"/>
  <c r="Y151" i="7"/>
  <c r="AB151" i="7" s="1"/>
  <c r="AD151" i="7"/>
  <c r="AC151" i="7"/>
  <c r="AA151" i="7"/>
  <c r="Y150" i="7"/>
  <c r="AB150" i="7" s="1"/>
  <c r="AD150" i="7"/>
  <c r="AA150" i="7"/>
  <c r="Y149" i="7"/>
  <c r="AA149" i="7"/>
  <c r="Y148" i="7"/>
  <c r="AD148" i="7"/>
  <c r="AC148" i="7"/>
  <c r="AB148" i="7"/>
  <c r="AA148" i="7"/>
  <c r="Y147" i="7"/>
  <c r="AB147" i="7" s="1"/>
  <c r="AD147" i="7"/>
  <c r="AC147" i="7"/>
  <c r="AA147" i="7"/>
  <c r="Y146" i="7"/>
  <c r="AB146" i="7" s="1"/>
  <c r="AD146" i="7"/>
  <c r="AA146" i="7"/>
  <c r="Y145" i="7"/>
  <c r="AA145" i="7"/>
  <c r="Y144" i="7"/>
  <c r="AD144" i="7"/>
  <c r="AC144" i="7"/>
  <c r="AB144" i="7"/>
  <c r="AA144" i="7"/>
  <c r="Y143" i="7"/>
  <c r="AB143" i="7" s="1"/>
  <c r="AD143" i="7"/>
  <c r="AC143" i="7"/>
  <c r="AA143" i="7"/>
  <c r="Y142" i="7"/>
  <c r="AB142" i="7" s="1"/>
  <c r="AD142" i="7"/>
  <c r="AA142" i="7"/>
  <c r="Y141" i="7"/>
  <c r="AA141" i="7"/>
  <c r="Y140" i="7"/>
  <c r="AD140" i="7"/>
  <c r="AC140" i="7"/>
  <c r="AB140" i="7"/>
  <c r="AA140" i="7"/>
  <c r="Y139" i="7"/>
  <c r="AB139" i="7" s="1"/>
  <c r="AD139" i="7"/>
  <c r="AC139" i="7"/>
  <c r="AA139" i="7"/>
  <c r="Y138" i="7"/>
  <c r="AB138" i="7" s="1"/>
  <c r="AD138" i="7"/>
  <c r="AA138" i="7"/>
  <c r="Y137" i="7"/>
  <c r="AA137" i="7"/>
  <c r="Y136" i="7"/>
  <c r="AD136" i="7"/>
  <c r="AC136" i="7"/>
  <c r="AB136" i="7"/>
  <c r="AA136" i="7"/>
  <c r="Y135" i="7"/>
  <c r="AB135" i="7" s="1"/>
  <c r="AD135" i="7"/>
  <c r="AC135" i="7"/>
  <c r="AA135" i="7"/>
  <c r="Y134" i="7"/>
  <c r="AB134" i="7" s="1"/>
  <c r="AD134" i="7"/>
  <c r="AA134" i="7"/>
  <c r="Y133" i="7"/>
  <c r="AA133" i="7"/>
  <c r="Y132" i="7"/>
  <c r="AD132" i="7"/>
  <c r="AC132" i="7"/>
  <c r="AB132" i="7"/>
  <c r="AA132" i="7"/>
  <c r="Y131" i="7"/>
  <c r="AB131" i="7" s="1"/>
  <c r="AD131" i="7"/>
  <c r="AC131" i="7"/>
  <c r="AA131" i="7"/>
  <c r="Y130" i="7"/>
  <c r="AB130" i="7" s="1"/>
  <c r="AD130" i="7"/>
  <c r="AA130" i="7"/>
  <c r="Y129" i="7"/>
  <c r="AA129" i="7"/>
  <c r="Y128" i="7"/>
  <c r="AD128" i="7"/>
  <c r="AC128" i="7"/>
  <c r="AB128" i="7"/>
  <c r="AA128" i="7"/>
  <c r="Y127" i="7"/>
  <c r="AB127" i="7" s="1"/>
  <c r="AD127" i="7"/>
  <c r="AC127" i="7"/>
  <c r="AA127" i="7"/>
  <c r="Y126" i="7"/>
  <c r="AB126" i="7" s="1"/>
  <c r="AD126" i="7"/>
  <c r="AA126" i="7"/>
  <c r="Y125" i="7"/>
  <c r="AA125" i="7"/>
  <c r="Y124" i="7"/>
  <c r="AD124" i="7"/>
  <c r="AC124" i="7"/>
  <c r="AB124" i="7"/>
  <c r="AA124" i="7"/>
  <c r="Y123" i="7"/>
  <c r="AB123" i="7" s="1"/>
  <c r="AD123" i="7"/>
  <c r="AC123" i="7"/>
  <c r="AA123" i="7"/>
  <c r="Y122" i="7"/>
  <c r="AB122" i="7" s="1"/>
  <c r="AD122" i="7"/>
  <c r="AA122" i="7"/>
  <c r="Y121" i="7"/>
  <c r="AA121" i="7"/>
  <c r="Y120" i="7"/>
  <c r="AD120" i="7"/>
  <c r="AC120" i="7"/>
  <c r="AB120" i="7"/>
  <c r="AA120" i="7"/>
  <c r="Y119" i="7"/>
  <c r="AB119" i="7" s="1"/>
  <c r="AD119" i="7"/>
  <c r="AC119" i="7"/>
  <c r="AA119" i="7"/>
  <c r="Y118" i="7"/>
  <c r="AB118" i="7" s="1"/>
  <c r="AD118" i="7"/>
  <c r="AA118" i="7"/>
  <c r="Y117" i="7"/>
  <c r="AA117" i="7"/>
  <c r="Y116" i="7"/>
  <c r="AD116" i="7"/>
  <c r="AC116" i="7"/>
  <c r="AB116" i="7"/>
  <c r="AA116" i="7"/>
  <c r="Y115" i="7"/>
  <c r="AB115" i="7" s="1"/>
  <c r="AD115" i="7"/>
  <c r="AC115" i="7"/>
  <c r="AA115" i="7"/>
  <c r="Y114" i="7"/>
  <c r="AB114" i="7" s="1"/>
  <c r="AD114" i="7"/>
  <c r="AA114" i="7"/>
  <c r="Y113" i="7"/>
  <c r="AA113" i="7"/>
  <c r="Y112" i="7"/>
  <c r="AD112" i="7"/>
  <c r="AC112" i="7"/>
  <c r="AB112" i="7"/>
  <c r="AA112" i="7"/>
  <c r="Y111" i="7"/>
  <c r="AB111" i="7" s="1"/>
  <c r="AD111" i="7"/>
  <c r="AC111" i="7"/>
  <c r="AA111" i="7"/>
  <c r="Y110" i="7"/>
  <c r="AB110" i="7" s="1"/>
  <c r="AD110" i="7"/>
  <c r="AA110" i="7"/>
  <c r="Y109" i="7"/>
  <c r="AA109" i="7"/>
  <c r="Y108" i="7"/>
  <c r="AD108" i="7"/>
  <c r="AC108" i="7"/>
  <c r="AB108" i="7"/>
  <c r="AA108" i="7"/>
  <c r="Y107" i="7"/>
  <c r="AB107" i="7" s="1"/>
  <c r="AD107" i="7"/>
  <c r="AC107" i="7"/>
  <c r="AA107" i="7"/>
  <c r="Y106" i="7"/>
  <c r="AB106" i="7" s="1"/>
  <c r="AD106" i="7"/>
  <c r="AA106" i="7"/>
  <c r="Y105" i="7"/>
  <c r="AA105" i="7"/>
  <c r="Y104" i="7"/>
  <c r="AD104" i="7"/>
  <c r="AC104" i="7"/>
  <c r="AB104" i="7"/>
  <c r="AA104" i="7"/>
  <c r="Y103" i="7"/>
  <c r="AB103" i="7" s="1"/>
  <c r="AD103" i="7"/>
  <c r="AC103" i="7"/>
  <c r="AA103" i="7"/>
  <c r="Y102" i="7"/>
  <c r="AB102" i="7" s="1"/>
  <c r="AD102" i="7"/>
  <c r="AA102" i="7"/>
  <c r="Y101" i="7"/>
  <c r="AA101" i="7"/>
  <c r="Y100" i="7"/>
  <c r="AD100" i="7"/>
  <c r="AC100" i="7"/>
  <c r="AB100" i="7"/>
  <c r="AA100" i="7"/>
  <c r="Y99" i="7"/>
  <c r="AB99" i="7" s="1"/>
  <c r="AD99" i="7"/>
  <c r="AC99" i="7"/>
  <c r="AA99" i="7"/>
  <c r="Y98" i="7"/>
  <c r="AB98" i="7" s="1"/>
  <c r="AD98" i="7"/>
  <c r="AA98" i="7"/>
  <c r="Y97" i="7"/>
  <c r="AA97" i="7"/>
  <c r="Y96" i="7"/>
  <c r="AD96" i="7"/>
  <c r="AC96" i="7"/>
  <c r="AB96" i="7"/>
  <c r="AA96" i="7"/>
  <c r="Y95" i="7"/>
  <c r="AB95" i="7" s="1"/>
  <c r="AD95" i="7"/>
  <c r="AC95" i="7"/>
  <c r="AA95" i="7"/>
  <c r="Y94" i="7"/>
  <c r="AB94" i="7" s="1"/>
  <c r="AD94" i="7"/>
  <c r="AA94" i="7"/>
  <c r="Y93" i="7"/>
  <c r="AA93" i="7"/>
  <c r="Y92" i="7"/>
  <c r="AD92" i="7"/>
  <c r="AC92" i="7"/>
  <c r="AB92" i="7"/>
  <c r="AA92" i="7"/>
  <c r="Y91" i="7"/>
  <c r="AB91" i="7" s="1"/>
  <c r="AD91" i="7"/>
  <c r="AC91" i="7"/>
  <c r="AA91" i="7"/>
  <c r="Y90" i="7"/>
  <c r="AB90" i="7" s="1"/>
  <c r="AD90" i="7"/>
  <c r="AA90" i="7"/>
  <c r="Y89" i="7"/>
  <c r="AA89" i="7"/>
  <c r="Y88" i="7"/>
  <c r="AD88" i="7"/>
  <c r="AC88" i="7"/>
  <c r="AB88" i="7"/>
  <c r="AA88" i="7"/>
  <c r="Y87" i="7"/>
  <c r="AB87" i="7" s="1"/>
  <c r="AD87" i="7"/>
  <c r="AC87" i="7"/>
  <c r="AA87" i="7"/>
  <c r="Y86" i="7"/>
  <c r="AB86" i="7" s="1"/>
  <c r="AD86" i="7"/>
  <c r="AA86" i="7"/>
  <c r="Y85" i="7"/>
  <c r="AA85" i="7"/>
  <c r="Y84" i="7"/>
  <c r="AD84" i="7"/>
  <c r="AC84" i="7"/>
  <c r="AB84" i="7"/>
  <c r="AA84" i="7"/>
  <c r="Y83" i="7"/>
  <c r="AB83" i="7" s="1"/>
  <c r="AD83" i="7"/>
  <c r="AC83" i="7"/>
  <c r="AA83" i="7"/>
  <c r="Y82" i="7"/>
  <c r="AB82" i="7" s="1"/>
  <c r="AD82" i="7"/>
  <c r="AA82" i="7"/>
  <c r="Y81" i="7"/>
  <c r="AA81" i="7"/>
  <c r="Y80" i="7"/>
  <c r="AD80" i="7"/>
  <c r="AC80" i="7"/>
  <c r="AB80" i="7"/>
  <c r="AA80" i="7"/>
  <c r="Y79" i="7"/>
  <c r="AB79" i="7" s="1"/>
  <c r="AD79" i="7"/>
  <c r="AC79" i="7"/>
  <c r="AA79" i="7"/>
  <c r="Y78" i="7"/>
  <c r="AB78" i="7" s="1"/>
  <c r="AD78" i="7"/>
  <c r="AA78" i="7"/>
  <c r="Y77" i="7"/>
  <c r="AA77" i="7"/>
  <c r="Y76" i="7"/>
  <c r="AD76" i="7"/>
  <c r="AC76" i="7"/>
  <c r="AB76" i="7"/>
  <c r="AA76" i="7"/>
  <c r="Y75" i="7"/>
  <c r="AB75" i="7" s="1"/>
  <c r="AD75" i="7"/>
  <c r="AC75" i="7"/>
  <c r="AA75" i="7"/>
  <c r="Y74" i="7"/>
  <c r="AB74" i="7" s="1"/>
  <c r="AD74" i="7"/>
  <c r="AA74" i="7"/>
  <c r="Y73" i="7"/>
  <c r="AA73" i="7"/>
  <c r="Y72" i="7"/>
  <c r="AD72" i="7"/>
  <c r="AC72" i="7"/>
  <c r="AB72" i="7"/>
  <c r="AA72" i="7"/>
  <c r="Y71" i="7"/>
  <c r="AB71" i="7" s="1"/>
  <c r="AD71" i="7"/>
  <c r="AC71" i="7"/>
  <c r="AA71" i="7"/>
  <c r="Y70" i="7"/>
  <c r="AB70" i="7" s="1"/>
  <c r="AD70" i="7"/>
  <c r="AA70" i="7"/>
  <c r="Y69" i="7"/>
  <c r="AA69" i="7"/>
  <c r="Y68" i="7"/>
  <c r="AD68" i="7"/>
  <c r="AC68" i="7"/>
  <c r="AB68" i="7"/>
  <c r="AA68" i="7"/>
  <c r="Y67" i="7"/>
  <c r="AB67" i="7" s="1"/>
  <c r="AD67" i="7"/>
  <c r="AC67" i="7"/>
  <c r="AA67" i="7"/>
  <c r="Y66" i="7"/>
  <c r="AB66" i="7" s="1"/>
  <c r="AD66" i="7"/>
  <c r="AA66" i="7"/>
  <c r="Y65" i="7"/>
  <c r="AA65" i="7"/>
  <c r="Y64" i="7"/>
  <c r="AD64" i="7"/>
  <c r="AC64" i="7"/>
  <c r="AB64" i="7"/>
  <c r="AA64" i="7"/>
  <c r="Y63" i="7"/>
  <c r="AB63" i="7" s="1"/>
  <c r="AD63" i="7"/>
  <c r="AC63" i="7"/>
  <c r="AA63" i="7"/>
  <c r="Y62" i="7"/>
  <c r="AB62" i="7" s="1"/>
  <c r="AD62" i="7"/>
  <c r="AA62" i="7"/>
  <c r="Y61" i="7"/>
  <c r="AA61" i="7"/>
  <c r="Y60" i="7"/>
  <c r="AD60" i="7"/>
  <c r="AC60" i="7"/>
  <c r="AB60" i="7"/>
  <c r="AA60" i="7"/>
  <c r="Y59" i="7"/>
  <c r="AB59" i="7" s="1"/>
  <c r="AD59" i="7"/>
  <c r="AC59" i="7"/>
  <c r="AA59" i="7"/>
  <c r="Y58" i="7"/>
  <c r="AB58" i="7" s="1"/>
  <c r="AD58" i="7"/>
  <c r="AA58" i="7"/>
  <c r="Y57" i="7"/>
  <c r="AA57" i="7"/>
  <c r="Y56" i="7"/>
  <c r="AD56" i="7"/>
  <c r="AC56" i="7"/>
  <c r="AB56" i="7"/>
  <c r="AA56" i="7"/>
  <c r="Y55" i="7"/>
  <c r="AB55" i="7" s="1"/>
  <c r="AD55" i="7"/>
  <c r="AC55" i="7"/>
  <c r="AA55" i="7"/>
  <c r="Y54" i="7"/>
  <c r="AB54" i="7" s="1"/>
  <c r="AD54" i="7"/>
  <c r="AA54" i="7"/>
  <c r="Y53" i="7"/>
  <c r="AA53" i="7"/>
  <c r="Y52" i="7"/>
  <c r="AD52" i="7"/>
  <c r="AC52" i="7"/>
  <c r="AB52" i="7"/>
  <c r="AA52" i="7"/>
  <c r="Y51" i="7"/>
  <c r="AB51" i="7" s="1"/>
  <c r="AD51" i="7"/>
  <c r="AC51" i="7"/>
  <c r="AA51" i="7"/>
  <c r="Y50" i="7"/>
  <c r="AB50" i="7" s="1"/>
  <c r="AD50" i="7"/>
  <c r="AA50" i="7"/>
  <c r="Y49" i="7"/>
  <c r="AA49" i="7"/>
  <c r="Y48" i="7"/>
  <c r="AD48" i="7"/>
  <c r="AC48" i="7"/>
  <c r="AB48" i="7"/>
  <c r="AA48" i="7"/>
  <c r="Y47" i="7"/>
  <c r="AB47" i="7" s="1"/>
  <c r="AD47" i="7"/>
  <c r="AC47" i="7"/>
  <c r="AA47" i="7"/>
  <c r="Y46" i="7"/>
  <c r="AB46" i="7" s="1"/>
  <c r="AD46" i="7"/>
  <c r="AA46" i="7"/>
  <c r="Y45" i="7"/>
  <c r="AA45" i="7"/>
  <c r="Y44" i="7"/>
  <c r="AD44" i="7"/>
  <c r="AC44" i="7"/>
  <c r="AB44" i="7"/>
  <c r="AA44" i="7"/>
  <c r="Y43" i="7"/>
  <c r="AB43" i="7" s="1"/>
  <c r="AD43" i="7"/>
  <c r="AC43" i="7"/>
  <c r="AA43" i="7"/>
  <c r="Y42" i="7"/>
  <c r="AB42" i="7" s="1"/>
  <c r="AD42" i="7"/>
  <c r="AA42" i="7"/>
  <c r="Y41" i="7"/>
  <c r="AA41" i="7"/>
  <c r="Y40" i="7"/>
  <c r="AD40" i="7"/>
  <c r="AC40" i="7"/>
  <c r="AB40" i="7"/>
  <c r="AA40" i="7"/>
  <c r="Y39" i="7"/>
  <c r="AB39" i="7" s="1"/>
  <c r="AD39" i="7"/>
  <c r="AC39" i="7"/>
  <c r="AA39" i="7"/>
  <c r="Y38" i="7"/>
  <c r="AB38" i="7" s="1"/>
  <c r="AD38" i="7"/>
  <c r="AA38" i="7"/>
  <c r="Y37" i="7"/>
  <c r="AA37" i="7"/>
  <c r="Y36" i="7"/>
  <c r="AD36" i="7"/>
  <c r="AC36" i="7"/>
  <c r="AB36" i="7"/>
  <c r="AA36" i="7"/>
  <c r="Y35" i="7"/>
  <c r="AB35" i="7" s="1"/>
  <c r="AD35" i="7"/>
  <c r="AC35" i="7"/>
  <c r="AA35" i="7"/>
  <c r="Y34" i="7"/>
  <c r="AB34" i="7" s="1"/>
  <c r="AD34" i="7"/>
  <c r="AA34" i="7"/>
  <c r="Y33" i="7"/>
  <c r="AA33" i="7"/>
  <c r="Y32" i="7"/>
  <c r="AD32" i="7"/>
  <c r="AC32" i="7"/>
  <c r="AB32" i="7"/>
  <c r="AA32" i="7"/>
  <c r="Y31" i="7"/>
  <c r="AB31" i="7" s="1"/>
  <c r="AD31" i="7"/>
  <c r="AC31" i="7"/>
  <c r="AA31" i="7"/>
  <c r="Y30" i="7"/>
  <c r="AB30" i="7" s="1"/>
  <c r="AD30" i="7"/>
  <c r="AA30" i="7"/>
  <c r="Y29" i="7"/>
  <c r="AA29" i="7"/>
  <c r="Y28" i="7"/>
  <c r="AD28" i="7"/>
  <c r="AC28" i="7"/>
  <c r="AB28" i="7"/>
  <c r="AA28" i="7"/>
  <c r="Y27" i="7"/>
  <c r="AB27" i="7" s="1"/>
  <c r="AD27" i="7"/>
  <c r="AC27" i="7"/>
  <c r="AA27" i="7"/>
  <c r="Y26" i="7"/>
  <c r="AB26" i="7" s="1"/>
  <c r="AD26" i="7"/>
  <c r="AA26" i="7"/>
  <c r="Y25" i="7"/>
  <c r="AA25" i="7"/>
  <c r="Y24" i="7"/>
  <c r="AD24" i="7"/>
  <c r="AC24" i="7"/>
  <c r="AB24" i="7"/>
  <c r="AA24" i="7"/>
  <c r="Y23" i="7"/>
  <c r="AB23" i="7" s="1"/>
  <c r="AD23" i="7"/>
  <c r="AC23" i="7"/>
  <c r="AA23" i="7"/>
  <c r="Y22" i="7"/>
  <c r="AB22" i="7" s="1"/>
  <c r="AD22" i="7"/>
  <c r="AA22" i="7"/>
  <c r="Y21" i="7"/>
  <c r="AA21" i="7"/>
  <c r="Y20" i="7"/>
  <c r="AD20" i="7"/>
  <c r="AC20" i="7"/>
  <c r="AB20" i="7"/>
  <c r="AA20" i="7"/>
  <c r="Y19" i="7"/>
  <c r="AB19" i="7" s="1"/>
  <c r="AD19" i="7"/>
  <c r="AC19" i="7"/>
  <c r="AA19" i="7"/>
  <c r="Y18" i="7"/>
  <c r="AB18" i="7" s="1"/>
  <c r="AD18" i="7"/>
  <c r="AA18" i="7"/>
  <c r="Y17" i="7"/>
  <c r="AA17" i="7"/>
  <c r="Y16" i="7"/>
  <c r="AD16" i="7"/>
  <c r="AC16" i="7"/>
  <c r="AB16" i="7"/>
  <c r="AA16" i="7"/>
  <c r="Y15" i="7"/>
  <c r="AB15" i="7" s="1"/>
  <c r="AD15" i="7"/>
  <c r="AC15" i="7"/>
  <c r="AA15" i="7"/>
  <c r="Y14" i="7"/>
  <c r="AB14" i="7" s="1"/>
  <c r="AD14" i="7"/>
  <c r="AA14" i="7"/>
  <c r="Y13" i="7"/>
  <c r="AA13" i="7"/>
  <c r="Y12" i="7"/>
  <c r="AD12" i="7"/>
  <c r="AC12" i="7"/>
  <c r="AB12" i="7"/>
  <c r="AA12" i="7"/>
  <c r="Y11" i="7"/>
  <c r="AB11" i="7" s="1"/>
  <c r="AD11" i="7"/>
  <c r="AC11" i="7"/>
  <c r="AA11" i="7"/>
  <c r="Y10" i="7"/>
  <c r="AB10" i="7" s="1"/>
  <c r="AD10" i="7"/>
  <c r="AA10" i="7"/>
  <c r="Y9" i="7"/>
  <c r="AD9" i="7"/>
  <c r="AC9" i="7"/>
  <c r="AB9" i="7"/>
  <c r="AA9" i="7"/>
  <c r="Y8" i="7"/>
  <c r="AB8" i="7" s="1"/>
  <c r="AD8" i="7"/>
  <c r="AC8" i="7"/>
  <c r="AA8" i="7"/>
  <c r="Y7" i="7"/>
  <c r="AB7" i="7" s="1"/>
  <c r="AD7" i="7"/>
  <c r="AA7" i="7"/>
  <c r="Y6" i="7"/>
  <c r="AD6" i="7"/>
  <c r="AC6" i="7"/>
  <c r="AB6" i="7"/>
  <c r="AA6" i="7"/>
  <c r="Y5" i="7"/>
  <c r="AA5" i="7"/>
  <c r="I80" i="16"/>
  <c r="H80" i="16"/>
  <c r="I77" i="16"/>
  <c r="H77" i="16"/>
  <c r="B77" i="16"/>
  <c r="B80" i="16"/>
  <c r="AL4" i="7"/>
  <c r="AL999" i="7"/>
  <c r="AL998" i="7"/>
  <c r="AL997" i="7"/>
  <c r="AL996" i="7"/>
  <c r="AL995" i="7"/>
  <c r="AL994" i="7"/>
  <c r="AL993" i="7"/>
  <c r="AL992" i="7"/>
  <c r="AL991" i="7"/>
  <c r="AL990" i="7"/>
  <c r="AL989" i="7"/>
  <c r="AL988" i="7"/>
  <c r="AL987" i="7"/>
  <c r="AL986" i="7"/>
  <c r="AL985" i="7"/>
  <c r="AL984" i="7"/>
  <c r="AL983" i="7"/>
  <c r="AL982" i="7"/>
  <c r="AL981" i="7"/>
  <c r="AL980" i="7"/>
  <c r="AL979" i="7"/>
  <c r="AL978" i="7"/>
  <c r="AL977" i="7"/>
  <c r="AL976" i="7"/>
  <c r="AL975" i="7"/>
  <c r="AL974" i="7"/>
  <c r="AL973" i="7"/>
  <c r="AL972" i="7"/>
  <c r="AL971" i="7"/>
  <c r="AL970" i="7"/>
  <c r="AL969" i="7"/>
  <c r="AL968" i="7"/>
  <c r="AL967" i="7"/>
  <c r="AL966" i="7"/>
  <c r="AL965" i="7"/>
  <c r="AL964" i="7"/>
  <c r="AL963" i="7"/>
  <c r="AL962" i="7"/>
  <c r="AL961" i="7"/>
  <c r="AL960" i="7"/>
  <c r="AL959" i="7"/>
  <c r="AL958" i="7"/>
  <c r="AL957" i="7"/>
  <c r="AL956" i="7"/>
  <c r="AL955" i="7"/>
  <c r="AL954" i="7"/>
  <c r="AL953" i="7"/>
  <c r="AL952" i="7"/>
  <c r="AL951" i="7"/>
  <c r="AL950" i="7"/>
  <c r="AL949" i="7"/>
  <c r="AL948" i="7"/>
  <c r="AL947" i="7"/>
  <c r="AL946" i="7"/>
  <c r="AL945" i="7"/>
  <c r="AL944" i="7"/>
  <c r="AL943" i="7"/>
  <c r="AL942" i="7"/>
  <c r="AL941" i="7"/>
  <c r="AL940" i="7"/>
  <c r="AL939" i="7"/>
  <c r="AL938" i="7"/>
  <c r="AL937" i="7"/>
  <c r="AL936" i="7"/>
  <c r="AL935" i="7"/>
  <c r="AL934" i="7"/>
  <c r="AL933" i="7"/>
  <c r="AL932" i="7"/>
  <c r="AL931" i="7"/>
  <c r="AL930" i="7"/>
  <c r="AL929" i="7"/>
  <c r="AL928" i="7"/>
  <c r="AL927" i="7"/>
  <c r="AL926" i="7"/>
  <c r="AL925" i="7"/>
  <c r="AL924" i="7"/>
  <c r="AL923" i="7"/>
  <c r="AL922" i="7"/>
  <c r="AL921" i="7"/>
  <c r="AL920" i="7"/>
  <c r="AL919" i="7"/>
  <c r="AL918" i="7"/>
  <c r="AL917" i="7"/>
  <c r="AL916" i="7"/>
  <c r="AL915" i="7"/>
  <c r="AL914" i="7"/>
  <c r="AL913" i="7"/>
  <c r="AL912" i="7"/>
  <c r="AL911" i="7"/>
  <c r="AL910" i="7"/>
  <c r="AL909" i="7"/>
  <c r="AL908" i="7"/>
  <c r="AL907" i="7"/>
  <c r="AL906" i="7"/>
  <c r="AL905" i="7"/>
  <c r="AL904" i="7"/>
  <c r="AL903" i="7"/>
  <c r="AL902" i="7"/>
  <c r="AL901" i="7"/>
  <c r="AL900" i="7"/>
  <c r="AL899" i="7"/>
  <c r="AL898" i="7"/>
  <c r="AL897" i="7"/>
  <c r="AL896" i="7"/>
  <c r="AL895" i="7"/>
  <c r="AL894" i="7"/>
  <c r="AL893" i="7"/>
  <c r="AL892" i="7"/>
  <c r="AL891" i="7"/>
  <c r="AL890" i="7"/>
  <c r="AL889" i="7"/>
  <c r="AL888" i="7"/>
  <c r="AL887" i="7"/>
  <c r="AL886" i="7"/>
  <c r="AL885" i="7"/>
  <c r="AL884" i="7"/>
  <c r="AL883" i="7"/>
  <c r="AL882" i="7"/>
  <c r="AL881" i="7"/>
  <c r="AL880" i="7"/>
  <c r="AL879" i="7"/>
  <c r="AL878" i="7"/>
  <c r="AL877" i="7"/>
  <c r="AL876" i="7"/>
  <c r="AL875" i="7"/>
  <c r="AL874" i="7"/>
  <c r="AL873" i="7"/>
  <c r="AL872" i="7"/>
  <c r="AL871" i="7"/>
  <c r="AL870" i="7"/>
  <c r="AL869" i="7"/>
  <c r="AL868" i="7"/>
  <c r="AL867" i="7"/>
  <c r="AL866" i="7"/>
  <c r="AL865" i="7"/>
  <c r="AL864" i="7"/>
  <c r="AL863" i="7"/>
  <c r="AL862" i="7"/>
  <c r="AL861" i="7"/>
  <c r="AL860" i="7"/>
  <c r="AL859" i="7"/>
  <c r="AL858" i="7"/>
  <c r="AL857" i="7"/>
  <c r="AL856" i="7"/>
  <c r="AL855" i="7"/>
  <c r="AL854" i="7"/>
  <c r="AL853" i="7"/>
  <c r="AL852" i="7"/>
  <c r="AL851" i="7"/>
  <c r="AL850" i="7"/>
  <c r="AL849" i="7"/>
  <c r="AL848" i="7"/>
  <c r="AL847" i="7"/>
  <c r="AL846" i="7"/>
  <c r="AL845" i="7"/>
  <c r="AL844" i="7"/>
  <c r="AL843" i="7"/>
  <c r="AL842" i="7"/>
  <c r="AL841" i="7"/>
  <c r="AL840" i="7"/>
  <c r="AL839" i="7"/>
  <c r="AL838" i="7"/>
  <c r="AL837" i="7"/>
  <c r="AL836" i="7"/>
  <c r="AL835" i="7"/>
  <c r="AL834" i="7"/>
  <c r="AL833" i="7"/>
  <c r="AL832" i="7"/>
  <c r="AL831" i="7"/>
  <c r="AL830" i="7"/>
  <c r="AL829" i="7"/>
  <c r="AL828" i="7"/>
  <c r="AL827" i="7"/>
  <c r="AL826" i="7"/>
  <c r="AL825" i="7"/>
  <c r="AL824" i="7"/>
  <c r="AL823" i="7"/>
  <c r="AL822" i="7"/>
  <c r="AL821" i="7"/>
  <c r="AL820" i="7"/>
  <c r="AL819" i="7"/>
  <c r="AL818" i="7"/>
  <c r="AL817" i="7"/>
  <c r="AL816" i="7"/>
  <c r="AL815" i="7"/>
  <c r="AL814" i="7"/>
  <c r="AL813" i="7"/>
  <c r="AL812" i="7"/>
  <c r="AL811" i="7"/>
  <c r="AL810" i="7"/>
  <c r="AL809" i="7"/>
  <c r="AL808" i="7"/>
  <c r="AL807" i="7"/>
  <c r="AL806" i="7"/>
  <c r="AL805" i="7"/>
  <c r="AL804" i="7"/>
  <c r="AL803" i="7"/>
  <c r="AL802" i="7"/>
  <c r="AL801" i="7"/>
  <c r="AL800" i="7"/>
  <c r="AL799" i="7"/>
  <c r="AL798" i="7"/>
  <c r="AL797" i="7"/>
  <c r="AL796" i="7"/>
  <c r="AL795" i="7"/>
  <c r="AL794" i="7"/>
  <c r="AL793" i="7"/>
  <c r="AL792" i="7"/>
  <c r="AL791" i="7"/>
  <c r="AL790" i="7"/>
  <c r="AL789" i="7"/>
  <c r="AL788" i="7"/>
  <c r="AL787" i="7"/>
  <c r="AL786" i="7"/>
  <c r="AL785" i="7"/>
  <c r="AL784" i="7"/>
  <c r="AL783" i="7"/>
  <c r="AL782" i="7"/>
  <c r="AL781" i="7"/>
  <c r="AL780" i="7"/>
  <c r="AL779" i="7"/>
  <c r="AL778" i="7"/>
  <c r="AL777" i="7"/>
  <c r="AL776" i="7"/>
  <c r="AL775" i="7"/>
  <c r="AL774" i="7"/>
  <c r="AL773" i="7"/>
  <c r="AL772" i="7"/>
  <c r="AL771" i="7"/>
  <c r="AL770" i="7"/>
  <c r="AL769" i="7"/>
  <c r="AL768" i="7"/>
  <c r="AL767" i="7"/>
  <c r="AL766" i="7"/>
  <c r="AL765" i="7"/>
  <c r="AL764" i="7"/>
  <c r="AL763" i="7"/>
  <c r="AL762" i="7"/>
  <c r="AL761" i="7"/>
  <c r="AL760" i="7"/>
  <c r="AL759" i="7"/>
  <c r="AL758" i="7"/>
  <c r="AL757" i="7"/>
  <c r="AL756" i="7"/>
  <c r="AL755" i="7"/>
  <c r="AL754" i="7"/>
  <c r="AL753" i="7"/>
  <c r="AL752" i="7"/>
  <c r="AL751" i="7"/>
  <c r="AL750" i="7"/>
  <c r="AL749" i="7"/>
  <c r="AL748" i="7"/>
  <c r="AL747" i="7"/>
  <c r="AL746" i="7"/>
  <c r="AL745" i="7"/>
  <c r="AL744" i="7"/>
  <c r="AL743" i="7"/>
  <c r="AL742" i="7"/>
  <c r="AL741" i="7"/>
  <c r="AL740" i="7"/>
  <c r="AL739" i="7"/>
  <c r="AL738" i="7"/>
  <c r="AL737" i="7"/>
  <c r="AL736" i="7"/>
  <c r="AL735" i="7"/>
  <c r="AL734" i="7"/>
  <c r="AL733" i="7"/>
  <c r="AL732" i="7"/>
  <c r="AL731" i="7"/>
  <c r="AL730" i="7"/>
  <c r="AL729" i="7"/>
  <c r="AL728" i="7"/>
  <c r="AL727" i="7"/>
  <c r="AL726" i="7"/>
  <c r="AL725" i="7"/>
  <c r="AL724" i="7"/>
  <c r="AL723" i="7"/>
  <c r="AL722" i="7"/>
  <c r="AL721" i="7"/>
  <c r="AL720" i="7"/>
  <c r="AL719" i="7"/>
  <c r="AL718" i="7"/>
  <c r="AL717" i="7"/>
  <c r="AL716" i="7"/>
  <c r="AL715" i="7"/>
  <c r="AL714" i="7"/>
  <c r="AL713" i="7"/>
  <c r="AL712" i="7"/>
  <c r="AL711" i="7"/>
  <c r="AL710" i="7"/>
  <c r="AL709" i="7"/>
  <c r="AL708" i="7"/>
  <c r="AL707" i="7"/>
  <c r="AL706" i="7"/>
  <c r="AL705" i="7"/>
  <c r="AL704" i="7"/>
  <c r="AL703" i="7"/>
  <c r="AL702" i="7"/>
  <c r="AL701" i="7"/>
  <c r="AL700" i="7"/>
  <c r="AL699" i="7"/>
  <c r="AL698" i="7"/>
  <c r="AL697" i="7"/>
  <c r="AL696" i="7"/>
  <c r="AL695" i="7"/>
  <c r="AL694" i="7"/>
  <c r="AL693" i="7"/>
  <c r="AL692" i="7"/>
  <c r="AL691" i="7"/>
  <c r="AL690" i="7"/>
  <c r="AL689" i="7"/>
  <c r="AL688" i="7"/>
  <c r="AL687" i="7"/>
  <c r="AL686" i="7"/>
  <c r="AL685" i="7"/>
  <c r="AL684" i="7"/>
  <c r="AL683" i="7"/>
  <c r="AL682" i="7"/>
  <c r="AL681" i="7"/>
  <c r="AL680" i="7"/>
  <c r="AL679" i="7"/>
  <c r="AL678" i="7"/>
  <c r="AL677" i="7"/>
  <c r="AL676" i="7"/>
  <c r="AL675" i="7"/>
  <c r="AL674" i="7"/>
  <c r="AL673" i="7"/>
  <c r="AL672" i="7"/>
  <c r="AL671" i="7"/>
  <c r="AL670" i="7"/>
  <c r="AL669" i="7"/>
  <c r="AL668" i="7"/>
  <c r="AL667" i="7"/>
  <c r="AL666" i="7"/>
  <c r="AL665" i="7"/>
  <c r="AL664" i="7"/>
  <c r="AL663" i="7"/>
  <c r="AL662" i="7"/>
  <c r="AL661" i="7"/>
  <c r="AL660" i="7"/>
  <c r="AL659" i="7"/>
  <c r="AL658" i="7"/>
  <c r="AL657" i="7"/>
  <c r="AL656" i="7"/>
  <c r="AL655" i="7"/>
  <c r="AL654" i="7"/>
  <c r="AL653" i="7"/>
  <c r="AL652" i="7"/>
  <c r="AL651" i="7"/>
  <c r="AL650" i="7"/>
  <c r="AL649" i="7"/>
  <c r="AL648" i="7"/>
  <c r="AL647" i="7"/>
  <c r="AL646" i="7"/>
  <c r="AL645" i="7"/>
  <c r="AL644" i="7"/>
  <c r="AL643" i="7"/>
  <c r="AL642" i="7"/>
  <c r="AL641" i="7"/>
  <c r="AL640" i="7"/>
  <c r="AL639" i="7"/>
  <c r="AL638" i="7"/>
  <c r="AL637" i="7"/>
  <c r="AL636" i="7"/>
  <c r="AL635" i="7"/>
  <c r="AL634" i="7"/>
  <c r="AL633" i="7"/>
  <c r="AL632" i="7"/>
  <c r="AL631" i="7"/>
  <c r="AL630" i="7"/>
  <c r="AL629" i="7"/>
  <c r="AL628" i="7"/>
  <c r="AL627" i="7"/>
  <c r="AL626" i="7"/>
  <c r="AL625" i="7"/>
  <c r="AL624" i="7"/>
  <c r="AL623" i="7"/>
  <c r="AL622" i="7"/>
  <c r="AL621" i="7"/>
  <c r="AL620" i="7"/>
  <c r="AL619" i="7"/>
  <c r="AL618" i="7"/>
  <c r="AL617" i="7"/>
  <c r="AL616" i="7"/>
  <c r="AL615" i="7"/>
  <c r="AL614" i="7"/>
  <c r="AL613" i="7"/>
  <c r="AL612" i="7"/>
  <c r="AL611" i="7"/>
  <c r="AL610" i="7"/>
  <c r="AL609" i="7"/>
  <c r="AL608" i="7"/>
  <c r="AL607" i="7"/>
  <c r="AL606" i="7"/>
  <c r="AL605" i="7"/>
  <c r="AL604" i="7"/>
  <c r="AL603" i="7"/>
  <c r="AL602" i="7"/>
  <c r="AL601" i="7"/>
  <c r="AL600" i="7"/>
  <c r="AL599" i="7"/>
  <c r="AL598" i="7"/>
  <c r="AL597" i="7"/>
  <c r="AL596" i="7"/>
  <c r="AL595" i="7"/>
  <c r="AL594" i="7"/>
  <c r="AL593" i="7"/>
  <c r="AL592" i="7"/>
  <c r="AL591" i="7"/>
  <c r="AL590" i="7"/>
  <c r="AL589" i="7"/>
  <c r="AL588" i="7"/>
  <c r="AL587" i="7"/>
  <c r="AL586" i="7"/>
  <c r="AL585" i="7"/>
  <c r="AL584" i="7"/>
  <c r="AL583" i="7"/>
  <c r="AL582" i="7"/>
  <c r="AL581" i="7"/>
  <c r="AL580" i="7"/>
  <c r="AL579" i="7"/>
  <c r="AL578" i="7"/>
  <c r="AL577" i="7"/>
  <c r="AL576" i="7"/>
  <c r="AL575" i="7"/>
  <c r="AL574" i="7"/>
  <c r="AL573" i="7"/>
  <c r="AL572" i="7"/>
  <c r="AL571" i="7"/>
  <c r="AL570" i="7"/>
  <c r="AL569" i="7"/>
  <c r="AL568" i="7"/>
  <c r="AL567" i="7"/>
  <c r="AL566" i="7"/>
  <c r="AL565" i="7"/>
  <c r="AL564" i="7"/>
  <c r="AL563" i="7"/>
  <c r="AL562" i="7"/>
  <c r="AL561" i="7"/>
  <c r="AL560" i="7"/>
  <c r="AL559" i="7"/>
  <c r="AL558" i="7"/>
  <c r="AL557" i="7"/>
  <c r="AL556" i="7"/>
  <c r="AL555" i="7"/>
  <c r="AL554" i="7"/>
  <c r="AL553" i="7"/>
  <c r="AL552" i="7"/>
  <c r="AL551" i="7"/>
  <c r="AL550" i="7"/>
  <c r="AL549" i="7"/>
  <c r="AL548" i="7"/>
  <c r="AL547" i="7"/>
  <c r="AL546" i="7"/>
  <c r="AL545" i="7"/>
  <c r="AL544" i="7"/>
  <c r="AL543" i="7"/>
  <c r="AL542" i="7"/>
  <c r="AL541" i="7"/>
  <c r="AL540" i="7"/>
  <c r="AL539" i="7"/>
  <c r="AL538" i="7"/>
  <c r="AL537" i="7"/>
  <c r="AL536" i="7"/>
  <c r="AL535" i="7"/>
  <c r="AL534" i="7"/>
  <c r="AL533" i="7"/>
  <c r="AL532" i="7"/>
  <c r="AL531" i="7"/>
  <c r="AL530" i="7"/>
  <c r="AL529" i="7"/>
  <c r="AL528" i="7"/>
  <c r="AL527" i="7"/>
  <c r="AL526" i="7"/>
  <c r="AL525" i="7"/>
  <c r="AL524" i="7"/>
  <c r="AL523" i="7"/>
  <c r="AL522" i="7"/>
  <c r="AL521" i="7"/>
  <c r="AL520" i="7"/>
  <c r="AL519" i="7"/>
  <c r="AL518" i="7"/>
  <c r="AL517" i="7"/>
  <c r="AL516" i="7"/>
  <c r="AL515" i="7"/>
  <c r="AL514" i="7"/>
  <c r="AL513" i="7"/>
  <c r="AL512" i="7"/>
  <c r="AL511" i="7"/>
  <c r="AL510" i="7"/>
  <c r="AL509" i="7"/>
  <c r="AL508" i="7"/>
  <c r="AL507" i="7"/>
  <c r="AL506" i="7"/>
  <c r="AL505" i="7"/>
  <c r="AL504" i="7"/>
  <c r="AL503" i="7"/>
  <c r="AL502" i="7"/>
  <c r="AL501" i="7"/>
  <c r="AL500" i="7"/>
  <c r="AL499" i="7"/>
  <c r="AL498" i="7"/>
  <c r="AL497" i="7"/>
  <c r="AL496" i="7"/>
  <c r="AL495" i="7"/>
  <c r="AL494" i="7"/>
  <c r="AL493" i="7"/>
  <c r="AL492" i="7"/>
  <c r="AL491" i="7"/>
  <c r="AL490" i="7"/>
  <c r="AL489" i="7"/>
  <c r="AL488" i="7"/>
  <c r="AL487" i="7"/>
  <c r="AL486" i="7"/>
  <c r="AL485" i="7"/>
  <c r="AL484" i="7"/>
  <c r="AL483" i="7"/>
  <c r="AL482" i="7"/>
  <c r="AL481" i="7"/>
  <c r="AL480" i="7"/>
  <c r="AL479" i="7"/>
  <c r="AL478" i="7"/>
  <c r="AL477" i="7"/>
  <c r="AL476" i="7"/>
  <c r="AL475" i="7"/>
  <c r="AL474" i="7"/>
  <c r="AL473" i="7"/>
  <c r="AL472" i="7"/>
  <c r="AL471" i="7"/>
  <c r="AL470" i="7"/>
  <c r="AL469" i="7"/>
  <c r="AL468" i="7"/>
  <c r="AL467" i="7"/>
  <c r="AL466" i="7"/>
  <c r="AL465" i="7"/>
  <c r="AL464" i="7"/>
  <c r="AL463" i="7"/>
  <c r="AL462" i="7"/>
  <c r="AL461" i="7"/>
  <c r="AL460" i="7"/>
  <c r="AL459" i="7"/>
  <c r="AL458" i="7"/>
  <c r="AL457" i="7"/>
  <c r="AL456" i="7"/>
  <c r="AL455" i="7"/>
  <c r="AL454" i="7"/>
  <c r="AL453" i="7"/>
  <c r="AL452" i="7"/>
  <c r="AL451" i="7"/>
  <c r="AL450" i="7"/>
  <c r="AL449" i="7"/>
  <c r="AL448" i="7"/>
  <c r="AL447" i="7"/>
  <c r="AL446" i="7"/>
  <c r="AL445" i="7"/>
  <c r="AL444" i="7"/>
  <c r="AL443" i="7"/>
  <c r="AL442" i="7"/>
  <c r="AL441" i="7"/>
  <c r="AL440" i="7"/>
  <c r="AL439" i="7"/>
  <c r="AL438" i="7"/>
  <c r="AL437" i="7"/>
  <c r="AL436" i="7"/>
  <c r="AL435" i="7"/>
  <c r="AL434" i="7"/>
  <c r="AL433" i="7"/>
  <c r="AL432" i="7"/>
  <c r="AL431" i="7"/>
  <c r="AL430" i="7"/>
  <c r="AL429" i="7"/>
  <c r="AL428" i="7"/>
  <c r="AL427" i="7"/>
  <c r="AL426" i="7"/>
  <c r="AL425" i="7"/>
  <c r="AL424" i="7"/>
  <c r="AL423" i="7"/>
  <c r="AL422" i="7"/>
  <c r="AL421" i="7"/>
  <c r="AL420" i="7"/>
  <c r="AL419" i="7"/>
  <c r="AL418" i="7"/>
  <c r="AL417" i="7"/>
  <c r="AL416" i="7"/>
  <c r="AL415" i="7"/>
  <c r="AL414" i="7"/>
  <c r="AL413" i="7"/>
  <c r="AL412" i="7"/>
  <c r="AL411" i="7"/>
  <c r="AL410" i="7"/>
  <c r="AL409" i="7"/>
  <c r="AL408" i="7"/>
  <c r="AL407" i="7"/>
  <c r="AL406" i="7"/>
  <c r="AL405" i="7"/>
  <c r="AL404" i="7"/>
  <c r="AL403" i="7"/>
  <c r="AL402" i="7"/>
  <c r="AL401" i="7"/>
  <c r="AL400" i="7"/>
  <c r="AL399" i="7"/>
  <c r="AL398" i="7"/>
  <c r="AL397" i="7"/>
  <c r="AL396" i="7"/>
  <c r="AL395" i="7"/>
  <c r="AL394" i="7"/>
  <c r="AL393" i="7"/>
  <c r="AL392" i="7"/>
  <c r="AL391" i="7"/>
  <c r="AL390" i="7"/>
  <c r="AL389" i="7"/>
  <c r="AL388" i="7"/>
  <c r="AL387" i="7"/>
  <c r="AL386" i="7"/>
  <c r="AL385" i="7"/>
  <c r="AL384" i="7"/>
  <c r="AL383" i="7"/>
  <c r="AL382" i="7"/>
  <c r="AL381" i="7"/>
  <c r="AL380" i="7"/>
  <c r="AL379" i="7"/>
  <c r="AL378" i="7"/>
  <c r="AL377" i="7"/>
  <c r="AL376" i="7"/>
  <c r="AL375" i="7"/>
  <c r="AL374" i="7"/>
  <c r="AL373" i="7"/>
  <c r="AL372" i="7"/>
  <c r="AL371" i="7"/>
  <c r="AL370" i="7"/>
  <c r="AL369" i="7"/>
  <c r="AL368" i="7"/>
  <c r="AL367" i="7"/>
  <c r="AL366" i="7"/>
  <c r="AL365" i="7"/>
  <c r="AL364" i="7"/>
  <c r="AL363" i="7"/>
  <c r="AL362" i="7"/>
  <c r="AL361" i="7"/>
  <c r="AL360" i="7"/>
  <c r="AL359" i="7"/>
  <c r="AL358" i="7"/>
  <c r="AL357" i="7"/>
  <c r="AL356" i="7"/>
  <c r="AL355" i="7"/>
  <c r="AL354" i="7"/>
  <c r="AL353" i="7"/>
  <c r="AL352" i="7"/>
  <c r="AL351" i="7"/>
  <c r="AL350" i="7"/>
  <c r="AL349" i="7"/>
  <c r="AL348" i="7"/>
  <c r="AL347" i="7"/>
  <c r="AL346" i="7"/>
  <c r="AL345" i="7"/>
  <c r="AL344" i="7"/>
  <c r="AL343" i="7"/>
  <c r="AL342" i="7"/>
  <c r="AL341" i="7"/>
  <c r="AL340" i="7"/>
  <c r="AL339" i="7"/>
  <c r="AL338" i="7"/>
  <c r="AL337" i="7"/>
  <c r="AL336" i="7"/>
  <c r="AL335" i="7"/>
  <c r="AL334" i="7"/>
  <c r="AL333" i="7"/>
  <c r="AL332" i="7"/>
  <c r="AL331" i="7"/>
  <c r="AL330" i="7"/>
  <c r="AL329" i="7"/>
  <c r="AL328" i="7"/>
  <c r="AL327" i="7"/>
  <c r="AL326" i="7"/>
  <c r="AL325" i="7"/>
  <c r="AL324" i="7"/>
  <c r="AL323" i="7"/>
  <c r="AL322" i="7"/>
  <c r="AL321" i="7"/>
  <c r="AL320" i="7"/>
  <c r="AL319" i="7"/>
  <c r="AL318" i="7"/>
  <c r="AL317" i="7"/>
  <c r="AL316" i="7"/>
  <c r="AL315" i="7"/>
  <c r="AL314" i="7"/>
  <c r="AL313" i="7"/>
  <c r="AL312" i="7"/>
  <c r="AL311" i="7"/>
  <c r="AL310" i="7"/>
  <c r="AL309" i="7"/>
  <c r="AL308" i="7"/>
  <c r="AL307" i="7"/>
  <c r="AL306" i="7"/>
  <c r="AL305" i="7"/>
  <c r="AL304" i="7"/>
  <c r="AL303" i="7"/>
  <c r="AL302" i="7"/>
  <c r="AL301" i="7"/>
  <c r="AL300" i="7"/>
  <c r="AL299" i="7"/>
  <c r="AL298" i="7"/>
  <c r="AL297" i="7"/>
  <c r="AL296" i="7"/>
  <c r="AL295" i="7"/>
  <c r="AL294" i="7"/>
  <c r="AL293" i="7"/>
  <c r="AL292" i="7"/>
  <c r="AL291" i="7"/>
  <c r="AL290" i="7"/>
  <c r="AL289" i="7"/>
  <c r="AL288" i="7"/>
  <c r="AL287" i="7"/>
  <c r="AL286" i="7"/>
  <c r="AL285" i="7"/>
  <c r="AL284" i="7"/>
  <c r="AL283" i="7"/>
  <c r="AL282" i="7"/>
  <c r="AL281" i="7"/>
  <c r="AL280" i="7"/>
  <c r="AL279" i="7"/>
  <c r="AL278" i="7"/>
  <c r="AL277" i="7"/>
  <c r="AL276" i="7"/>
  <c r="AL275" i="7"/>
  <c r="AL274" i="7"/>
  <c r="AL273" i="7"/>
  <c r="AL272" i="7"/>
  <c r="AL271" i="7"/>
  <c r="AL270" i="7"/>
  <c r="AL269" i="7"/>
  <c r="AL268" i="7"/>
  <c r="AL267" i="7"/>
  <c r="AL266" i="7"/>
  <c r="AL265" i="7"/>
  <c r="AL264" i="7"/>
  <c r="AL263" i="7"/>
  <c r="AL262" i="7"/>
  <c r="AL261" i="7"/>
  <c r="AL260" i="7"/>
  <c r="AL259" i="7"/>
  <c r="AL258" i="7"/>
  <c r="AL257" i="7"/>
  <c r="AL256" i="7"/>
  <c r="AL255" i="7"/>
  <c r="AL254" i="7"/>
  <c r="AL253" i="7"/>
  <c r="AL252" i="7"/>
  <c r="AL251" i="7"/>
  <c r="AL250" i="7"/>
  <c r="AL249" i="7"/>
  <c r="AL248" i="7"/>
  <c r="AL247" i="7"/>
  <c r="AL246" i="7"/>
  <c r="AL245" i="7"/>
  <c r="AL244" i="7"/>
  <c r="AL243" i="7"/>
  <c r="AL242" i="7"/>
  <c r="AL241" i="7"/>
  <c r="AL240" i="7"/>
  <c r="AL239" i="7"/>
  <c r="AL238" i="7"/>
  <c r="AL237" i="7"/>
  <c r="AL236" i="7"/>
  <c r="AL235" i="7"/>
  <c r="AL234" i="7"/>
  <c r="AL233" i="7"/>
  <c r="AL232" i="7"/>
  <c r="AL231" i="7"/>
  <c r="AL230" i="7"/>
  <c r="AL229" i="7"/>
  <c r="AL228" i="7"/>
  <c r="AL227" i="7"/>
  <c r="AL226" i="7"/>
  <c r="AL225" i="7"/>
  <c r="AL224" i="7"/>
  <c r="AL223" i="7"/>
  <c r="AL222" i="7"/>
  <c r="AL221" i="7"/>
  <c r="AL220" i="7"/>
  <c r="AL219" i="7"/>
  <c r="AL218" i="7"/>
  <c r="AL217" i="7"/>
  <c r="AL216" i="7"/>
  <c r="AL215" i="7"/>
  <c r="AL214" i="7"/>
  <c r="AL213" i="7"/>
  <c r="AL212" i="7"/>
  <c r="AL211" i="7"/>
  <c r="AL210" i="7"/>
  <c r="AL209" i="7"/>
  <c r="AL208" i="7"/>
  <c r="AL207" i="7"/>
  <c r="AL206" i="7"/>
  <c r="AL205" i="7"/>
  <c r="AL204" i="7"/>
  <c r="AL203" i="7"/>
  <c r="AL202" i="7"/>
  <c r="AL201" i="7"/>
  <c r="AL200" i="7"/>
  <c r="AL199" i="7"/>
  <c r="AL198" i="7"/>
  <c r="AL197" i="7"/>
  <c r="AL196" i="7"/>
  <c r="AL195" i="7"/>
  <c r="AL194" i="7"/>
  <c r="AL193" i="7"/>
  <c r="AL192" i="7"/>
  <c r="AL191" i="7"/>
  <c r="AL190" i="7"/>
  <c r="AL189" i="7"/>
  <c r="AL188" i="7"/>
  <c r="AL187" i="7"/>
  <c r="AL186" i="7"/>
  <c r="AL185" i="7"/>
  <c r="AL184" i="7"/>
  <c r="AL183" i="7"/>
  <c r="AL182" i="7"/>
  <c r="AL181" i="7"/>
  <c r="AL180" i="7"/>
  <c r="AL179" i="7"/>
  <c r="AL178" i="7"/>
  <c r="AL177" i="7"/>
  <c r="AL176" i="7"/>
  <c r="AL175" i="7"/>
  <c r="AL174" i="7"/>
  <c r="AL173" i="7"/>
  <c r="AL172" i="7"/>
  <c r="AL171" i="7"/>
  <c r="AL170" i="7"/>
  <c r="AL169" i="7"/>
  <c r="AL168" i="7"/>
  <c r="AL167" i="7"/>
  <c r="AL166" i="7"/>
  <c r="AL165" i="7"/>
  <c r="AL164" i="7"/>
  <c r="AL163" i="7"/>
  <c r="AL162" i="7"/>
  <c r="AL161" i="7"/>
  <c r="AL160" i="7"/>
  <c r="AL159" i="7"/>
  <c r="AL158" i="7"/>
  <c r="AL157" i="7"/>
  <c r="AL156" i="7"/>
  <c r="AL155" i="7"/>
  <c r="AL154" i="7"/>
  <c r="AL153" i="7"/>
  <c r="AL152" i="7"/>
  <c r="AL151" i="7"/>
  <c r="AL150" i="7"/>
  <c r="AL149" i="7"/>
  <c r="AL148" i="7"/>
  <c r="AL147" i="7"/>
  <c r="AL146" i="7"/>
  <c r="AL145" i="7"/>
  <c r="AL144" i="7"/>
  <c r="AL143" i="7"/>
  <c r="AL142" i="7"/>
  <c r="AL141" i="7"/>
  <c r="AL140" i="7"/>
  <c r="AL139" i="7"/>
  <c r="AL138" i="7"/>
  <c r="AL137" i="7"/>
  <c r="AL136" i="7"/>
  <c r="AL135" i="7"/>
  <c r="AL134" i="7"/>
  <c r="AL133" i="7"/>
  <c r="AL132" i="7"/>
  <c r="AL131" i="7"/>
  <c r="AL130" i="7"/>
  <c r="AL129" i="7"/>
  <c r="AL128" i="7"/>
  <c r="AL127" i="7"/>
  <c r="AL126" i="7"/>
  <c r="AL125" i="7"/>
  <c r="AL124" i="7"/>
  <c r="AL123" i="7"/>
  <c r="AL122" i="7"/>
  <c r="AL121" i="7"/>
  <c r="AL120" i="7"/>
  <c r="AL119" i="7"/>
  <c r="AL118" i="7"/>
  <c r="AL117" i="7"/>
  <c r="AL116" i="7"/>
  <c r="AL115" i="7"/>
  <c r="AL114" i="7"/>
  <c r="AL113" i="7"/>
  <c r="AL112" i="7"/>
  <c r="AL111" i="7"/>
  <c r="AL110" i="7"/>
  <c r="AL109" i="7"/>
  <c r="AL108" i="7"/>
  <c r="AL107" i="7"/>
  <c r="AL106" i="7"/>
  <c r="AL105" i="7"/>
  <c r="AL104" i="7"/>
  <c r="AL103" i="7"/>
  <c r="AL102" i="7"/>
  <c r="AL101" i="7"/>
  <c r="AL100" i="7"/>
  <c r="AL99" i="7"/>
  <c r="AL98" i="7"/>
  <c r="AL97" i="7"/>
  <c r="AL96" i="7"/>
  <c r="AL95" i="7"/>
  <c r="AL94" i="7"/>
  <c r="AL93" i="7"/>
  <c r="AL92" i="7"/>
  <c r="AL91" i="7"/>
  <c r="AL90" i="7"/>
  <c r="AL89" i="7"/>
  <c r="AL88" i="7"/>
  <c r="AL87" i="7"/>
  <c r="AL86" i="7"/>
  <c r="AL85" i="7"/>
  <c r="AL84" i="7"/>
  <c r="AL83" i="7"/>
  <c r="AL82" i="7"/>
  <c r="AL81" i="7"/>
  <c r="AL80" i="7"/>
  <c r="AL79" i="7"/>
  <c r="AL78" i="7"/>
  <c r="AL77" i="7"/>
  <c r="AL76" i="7"/>
  <c r="AL75" i="7"/>
  <c r="AL74" i="7"/>
  <c r="AL73" i="7"/>
  <c r="AL72" i="7"/>
  <c r="AL71" i="7"/>
  <c r="AL70" i="7"/>
  <c r="AL69" i="7"/>
  <c r="AL68" i="7"/>
  <c r="AL67" i="7"/>
  <c r="AL66" i="7"/>
  <c r="AL65" i="7"/>
  <c r="AL64" i="7"/>
  <c r="AL63" i="7"/>
  <c r="AL62" i="7"/>
  <c r="AL61" i="7"/>
  <c r="AL60" i="7"/>
  <c r="AL59" i="7"/>
  <c r="AL58" i="7"/>
  <c r="AL57" i="7"/>
  <c r="AL56" i="7"/>
  <c r="AL55" i="7"/>
  <c r="AL54" i="7"/>
  <c r="AL53" i="7"/>
  <c r="AL52" i="7"/>
  <c r="AL51" i="7"/>
  <c r="AL50" i="7"/>
  <c r="AL49" i="7"/>
  <c r="AL48" i="7"/>
  <c r="AL47" i="7"/>
  <c r="AL46" i="7"/>
  <c r="AL45" i="7"/>
  <c r="AL44" i="7"/>
  <c r="AL43" i="7"/>
  <c r="AL42" i="7"/>
  <c r="AL41" i="7"/>
  <c r="AL40" i="7"/>
  <c r="AL39" i="7"/>
  <c r="AL38" i="7"/>
  <c r="AL37" i="7"/>
  <c r="AL36" i="7"/>
  <c r="AL35" i="7"/>
  <c r="AL34" i="7"/>
  <c r="AL33" i="7"/>
  <c r="AL32" i="7"/>
  <c r="AL31" i="7"/>
  <c r="AL30" i="7"/>
  <c r="AL29" i="7"/>
  <c r="AL28" i="7"/>
  <c r="AL27" i="7"/>
  <c r="AL26" i="7"/>
  <c r="AL25" i="7"/>
  <c r="AL24" i="7"/>
  <c r="AL23" i="7"/>
  <c r="AL22" i="7"/>
  <c r="AL21" i="7"/>
  <c r="AL20" i="7"/>
  <c r="AL19" i="7"/>
  <c r="AL18" i="7"/>
  <c r="AL17" i="7"/>
  <c r="AL16" i="7"/>
  <c r="AL15" i="7"/>
  <c r="AL14" i="7"/>
  <c r="AL13" i="7"/>
  <c r="AL12" i="7"/>
  <c r="AL11" i="7"/>
  <c r="AL10" i="7"/>
  <c r="AL9" i="7"/>
  <c r="AL8" i="7"/>
  <c r="AL7" i="7"/>
  <c r="AL6" i="7"/>
  <c r="AL5" i="7"/>
  <c r="B46" i="2"/>
  <c r="C41" i="2"/>
  <c r="O79" i="9"/>
  <c r="C79" i="9"/>
  <c r="B132" i="16"/>
  <c r="Y4" i="7"/>
  <c r="AB4" i="7" s="1"/>
  <c r="AD4" i="7"/>
  <c r="AA4" i="7"/>
  <c r="B81" i="16"/>
  <c r="B79" i="16"/>
  <c r="B78" i="16"/>
  <c r="B76" i="16"/>
  <c r="B75" i="16"/>
  <c r="B74" i="16"/>
  <c r="B73" i="16"/>
  <c r="B72" i="16"/>
  <c r="B71" i="16"/>
  <c r="B70" i="16"/>
  <c r="B69" i="16"/>
  <c r="B67" i="16"/>
  <c r="B66" i="16"/>
  <c r="B65" i="16"/>
  <c r="B64" i="16"/>
  <c r="B63" i="16"/>
  <c r="B62" i="16"/>
  <c r="B61" i="16"/>
  <c r="B60" i="16"/>
  <c r="B59" i="16"/>
  <c r="B58" i="16"/>
  <c r="B57" i="16"/>
  <c r="B56" i="16"/>
  <c r="B55" i="16"/>
  <c r="B54" i="16"/>
  <c r="B53" i="16"/>
  <c r="B52" i="16"/>
  <c r="B51" i="16"/>
  <c r="B50" i="16"/>
  <c r="B49" i="16"/>
  <c r="B48" i="16"/>
  <c r="B47" i="16"/>
  <c r="B46" i="16"/>
  <c r="B45" i="16"/>
  <c r="H3" i="11"/>
  <c r="D1" i="6"/>
  <c r="D4" i="6"/>
  <c r="D5" i="6"/>
  <c r="D6"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J2" i="15"/>
  <c r="J4" i="15"/>
  <c r="J5" i="15"/>
  <c r="J6" i="15"/>
  <c r="J7" i="15"/>
  <c r="B3" i="16"/>
  <c r="I3" i="16"/>
  <c r="B4" i="16"/>
  <c r="H4" i="16"/>
  <c r="I4" i="16"/>
  <c r="B5" i="16"/>
  <c r="H5" i="16"/>
  <c r="I5" i="16"/>
  <c r="B7" i="16"/>
  <c r="H7" i="16"/>
  <c r="I7" i="16"/>
  <c r="B8" i="16"/>
  <c r="H8" i="16"/>
  <c r="I8" i="16"/>
  <c r="B9" i="16"/>
  <c r="H9" i="16"/>
  <c r="I9" i="16"/>
  <c r="B10" i="16"/>
  <c r="H10" i="16"/>
  <c r="I10" i="16"/>
  <c r="B11" i="16"/>
  <c r="H11" i="16"/>
  <c r="I11" i="16"/>
  <c r="B12" i="16"/>
  <c r="H12" i="16"/>
  <c r="I12" i="16"/>
  <c r="B13" i="16"/>
  <c r="I13" i="16"/>
  <c r="B14" i="16"/>
  <c r="H14" i="16"/>
  <c r="I14" i="16"/>
  <c r="B15" i="16"/>
  <c r="H15" i="16"/>
  <c r="I15" i="16"/>
  <c r="B17" i="16"/>
  <c r="H17" i="16"/>
  <c r="I17" i="16"/>
  <c r="B18" i="16"/>
  <c r="H18" i="16"/>
  <c r="I18" i="16"/>
  <c r="B19" i="16"/>
  <c r="H19" i="16"/>
  <c r="I19" i="16"/>
  <c r="B20" i="16"/>
  <c r="H20" i="16"/>
  <c r="I20" i="16"/>
  <c r="B21" i="16"/>
  <c r="H21" i="16"/>
  <c r="I21" i="16"/>
  <c r="B22" i="16"/>
  <c r="H22" i="16"/>
  <c r="I22" i="16"/>
  <c r="B23" i="16"/>
  <c r="I23" i="16"/>
  <c r="B24" i="16"/>
  <c r="J42" i="16"/>
  <c r="B44" i="16"/>
  <c r="H44" i="16"/>
  <c r="I44" i="16"/>
  <c r="H45" i="16"/>
  <c r="I45" i="16"/>
  <c r="H46" i="16"/>
  <c r="I46" i="16"/>
  <c r="H47" i="16"/>
  <c r="I47" i="16"/>
  <c r="H48" i="16"/>
  <c r="I48" i="16"/>
  <c r="H49" i="16"/>
  <c r="I49" i="16"/>
  <c r="H50" i="16"/>
  <c r="I50" i="16"/>
  <c r="H59" i="16"/>
  <c r="I59" i="16"/>
  <c r="H60" i="16"/>
  <c r="I60" i="16"/>
  <c r="H61" i="16"/>
  <c r="I61" i="16"/>
  <c r="H62" i="16"/>
  <c r="I62" i="16"/>
  <c r="H63" i="16"/>
  <c r="I63" i="16"/>
  <c r="H64" i="16"/>
  <c r="I64" i="16"/>
  <c r="H65" i="16"/>
  <c r="I65" i="16"/>
  <c r="H66" i="16"/>
  <c r="I66" i="16"/>
  <c r="H67" i="16"/>
  <c r="I67" i="16"/>
  <c r="H68" i="16"/>
  <c r="I68" i="16"/>
  <c r="H69" i="16"/>
  <c r="I69" i="16"/>
  <c r="H70" i="16"/>
  <c r="I70" i="16"/>
  <c r="H71" i="16"/>
  <c r="I71" i="16"/>
  <c r="H72" i="16"/>
  <c r="I72" i="16"/>
  <c r="H78" i="16"/>
  <c r="I78" i="16"/>
  <c r="H51" i="16"/>
  <c r="I51" i="16"/>
  <c r="H52" i="16"/>
  <c r="I52" i="16"/>
  <c r="H53" i="16"/>
  <c r="I53" i="16"/>
  <c r="H54" i="16"/>
  <c r="I54" i="16"/>
  <c r="H55" i="16"/>
  <c r="I55" i="16"/>
  <c r="H56" i="16"/>
  <c r="I56" i="16"/>
  <c r="H57" i="16"/>
  <c r="I57" i="16"/>
  <c r="H58" i="16"/>
  <c r="I58" i="16"/>
  <c r="H73" i="16"/>
  <c r="I73" i="16"/>
  <c r="H74" i="16"/>
  <c r="I74" i="16"/>
  <c r="H75" i="16"/>
  <c r="I75" i="16"/>
  <c r="H76" i="16"/>
  <c r="I76" i="16"/>
  <c r="H79" i="16"/>
  <c r="I79" i="16"/>
  <c r="J82" i="16"/>
  <c r="H86" i="16"/>
  <c r="I86" i="16"/>
  <c r="H87" i="16"/>
  <c r="I87" i="16"/>
  <c r="H88" i="16"/>
  <c r="I88" i="16"/>
  <c r="H89" i="16"/>
  <c r="I89" i="16"/>
  <c r="H90" i="16"/>
  <c r="I90" i="16"/>
  <c r="H91" i="16"/>
  <c r="I91" i="16"/>
  <c r="H92" i="16"/>
  <c r="I92" i="16"/>
  <c r="H93" i="16"/>
  <c r="I93" i="16"/>
  <c r="H95" i="16"/>
  <c r="I95" i="16"/>
  <c r="H96" i="16"/>
  <c r="I96" i="16"/>
  <c r="H97" i="16"/>
  <c r="I97" i="16"/>
  <c r="H98" i="16"/>
  <c r="I98" i="16"/>
  <c r="H99" i="16"/>
  <c r="I99" i="16"/>
  <c r="H100" i="16"/>
  <c r="I100" i="16"/>
  <c r="H101" i="16"/>
  <c r="I101" i="16"/>
  <c r="H102" i="16"/>
  <c r="I102" i="16"/>
  <c r="H103" i="16"/>
  <c r="I103" i="16"/>
  <c r="H105" i="16"/>
  <c r="I105" i="16"/>
  <c r="H106" i="16"/>
  <c r="I106" i="16"/>
  <c r="H107" i="16"/>
  <c r="I107" i="16"/>
  <c r="H108" i="16"/>
  <c r="I108" i="16"/>
  <c r="H109" i="16"/>
  <c r="I109" i="16"/>
  <c r="H110" i="16"/>
  <c r="I110" i="16"/>
  <c r="H111" i="16"/>
  <c r="I111" i="16"/>
  <c r="H112" i="16"/>
  <c r="I112" i="16"/>
  <c r="H113" i="16"/>
  <c r="I113" i="16"/>
  <c r="H115" i="16"/>
  <c r="I115" i="16"/>
  <c r="H116" i="16"/>
  <c r="I116" i="16"/>
  <c r="H117" i="16"/>
  <c r="I117" i="16"/>
  <c r="H118" i="16"/>
  <c r="I118" i="16"/>
  <c r="H119" i="16"/>
  <c r="I119" i="16"/>
  <c r="H120" i="16"/>
  <c r="I120" i="16"/>
  <c r="H121" i="16"/>
  <c r="I121" i="16"/>
  <c r="H122" i="16"/>
  <c r="I122" i="16"/>
  <c r="H123" i="16"/>
  <c r="I123" i="16"/>
  <c r="J125" i="16"/>
  <c r="B128" i="16"/>
  <c r="B129" i="16"/>
  <c r="B130" i="16"/>
  <c r="B131" i="16"/>
  <c r="B133" i="16"/>
  <c r="B134" i="16"/>
  <c r="B136" i="16"/>
  <c r="B137" i="16"/>
  <c r="B138" i="16"/>
  <c r="B139" i="16"/>
  <c r="B140" i="16"/>
  <c r="B141" i="16"/>
  <c r="J142" i="16"/>
  <c r="B144" i="16"/>
  <c r="B145" i="16"/>
  <c r="B153" i="16"/>
  <c r="B154" i="16"/>
  <c r="B155" i="16"/>
  <c r="B156" i="16"/>
  <c r="B146" i="16"/>
  <c r="B147" i="16"/>
  <c r="B148" i="16"/>
  <c r="B149" i="16"/>
  <c r="B150" i="16"/>
  <c r="B151" i="16"/>
  <c r="B152" i="16"/>
  <c r="B159" i="16"/>
  <c r="A1" i="9"/>
  <c r="C4" i="9"/>
  <c r="C5" i="9" s="1"/>
  <c r="B7" i="9"/>
  <c r="F7" i="9"/>
  <c r="H7" i="9"/>
  <c r="L7" i="9"/>
  <c r="N7" i="9"/>
  <c r="O7" i="9"/>
  <c r="P7" i="9"/>
  <c r="U7" i="9"/>
  <c r="B8" i="9"/>
  <c r="F8" i="9"/>
  <c r="H8" i="9"/>
  <c r="L8" i="9"/>
  <c r="N8" i="9"/>
  <c r="O8" i="9"/>
  <c r="P8" i="9"/>
  <c r="R8" i="9"/>
  <c r="U8" i="9"/>
  <c r="F9" i="9"/>
  <c r="H9" i="9"/>
  <c r="L9" i="9"/>
  <c r="N9" i="9"/>
  <c r="F10" i="9"/>
  <c r="H10" i="9"/>
  <c r="L10" i="9"/>
  <c r="N10" i="9"/>
  <c r="F11" i="9"/>
  <c r="H11" i="9"/>
  <c r="L11" i="9"/>
  <c r="N11" i="9"/>
  <c r="F12" i="9"/>
  <c r="H12" i="9"/>
  <c r="L12" i="9"/>
  <c r="N12" i="9"/>
  <c r="F13" i="9"/>
  <c r="H13" i="9"/>
  <c r="L13" i="9"/>
  <c r="N13" i="9"/>
  <c r="F14" i="9"/>
  <c r="H14" i="9"/>
  <c r="L14" i="9"/>
  <c r="N14" i="9"/>
  <c r="F15" i="9"/>
  <c r="H15" i="9"/>
  <c r="L15" i="9"/>
  <c r="N15" i="9"/>
  <c r="F16" i="9"/>
  <c r="H16" i="9"/>
  <c r="L16" i="9"/>
  <c r="N16" i="9"/>
  <c r="F17" i="9"/>
  <c r="H17" i="9"/>
  <c r="L17" i="9"/>
  <c r="N17" i="9"/>
  <c r="F18" i="9"/>
  <c r="F52" i="9" s="1"/>
  <c r="H18" i="9"/>
  <c r="L18" i="9"/>
  <c r="N18" i="9"/>
  <c r="F19" i="9"/>
  <c r="H19" i="9"/>
  <c r="L19" i="9"/>
  <c r="N19" i="9"/>
  <c r="F20" i="9"/>
  <c r="H20" i="9"/>
  <c r="L20" i="9"/>
  <c r="N20" i="9"/>
  <c r="F21" i="9"/>
  <c r="H21" i="9"/>
  <c r="L21" i="9"/>
  <c r="N21" i="9"/>
  <c r="F22" i="9"/>
  <c r="H22" i="9"/>
  <c r="L22" i="9"/>
  <c r="N22" i="9"/>
  <c r="F23" i="9"/>
  <c r="H23" i="9"/>
  <c r="L23" i="9"/>
  <c r="N23" i="9"/>
  <c r="F24" i="9"/>
  <c r="H24" i="9"/>
  <c r="L24" i="9"/>
  <c r="N24" i="9"/>
  <c r="F25" i="9"/>
  <c r="H25" i="9"/>
  <c r="L25" i="9"/>
  <c r="N25" i="9"/>
  <c r="F26" i="9"/>
  <c r="H26" i="9"/>
  <c r="L26" i="9"/>
  <c r="N26" i="9"/>
  <c r="F27" i="9"/>
  <c r="H27" i="9"/>
  <c r="L27" i="9"/>
  <c r="N27" i="9"/>
  <c r="F28" i="9"/>
  <c r="H28" i="9"/>
  <c r="L28" i="9"/>
  <c r="N28" i="9"/>
  <c r="F29" i="9"/>
  <c r="H29" i="9"/>
  <c r="L29" i="9"/>
  <c r="N29" i="9"/>
  <c r="F30" i="9"/>
  <c r="H30" i="9"/>
  <c r="L30" i="9"/>
  <c r="N30" i="9"/>
  <c r="F31" i="9"/>
  <c r="H31" i="9"/>
  <c r="L31" i="9"/>
  <c r="N31" i="9"/>
  <c r="F32" i="9"/>
  <c r="H32" i="9"/>
  <c r="L32" i="9"/>
  <c r="N32" i="9"/>
  <c r="F33" i="9"/>
  <c r="H33" i="9"/>
  <c r="H52" i="9" s="1"/>
  <c r="L33" i="9"/>
  <c r="N33" i="9"/>
  <c r="F34" i="9"/>
  <c r="H34" i="9"/>
  <c r="L34" i="9"/>
  <c r="N34" i="9"/>
  <c r="F35" i="9"/>
  <c r="H35" i="9"/>
  <c r="L35" i="9"/>
  <c r="N35" i="9"/>
  <c r="F36" i="9"/>
  <c r="H36" i="9"/>
  <c r="L36" i="9"/>
  <c r="N36" i="9"/>
  <c r="F37" i="9"/>
  <c r="H37" i="9"/>
  <c r="L37" i="9"/>
  <c r="N37" i="9"/>
  <c r="F38" i="9"/>
  <c r="H38" i="9"/>
  <c r="L38" i="9"/>
  <c r="N38" i="9"/>
  <c r="F39" i="9"/>
  <c r="H39" i="9"/>
  <c r="L39" i="9"/>
  <c r="N39" i="9"/>
  <c r="F40" i="9"/>
  <c r="H40" i="9"/>
  <c r="L40" i="9"/>
  <c r="N40" i="9"/>
  <c r="F41" i="9"/>
  <c r="H41" i="9"/>
  <c r="L41" i="9"/>
  <c r="N41" i="9"/>
  <c r="F42" i="9"/>
  <c r="H42" i="9"/>
  <c r="L42" i="9"/>
  <c r="N42" i="9"/>
  <c r="F43" i="9"/>
  <c r="H43" i="9"/>
  <c r="L43" i="9"/>
  <c r="N43" i="9"/>
  <c r="F44" i="9"/>
  <c r="H44" i="9"/>
  <c r="L44" i="9"/>
  <c r="N44" i="9"/>
  <c r="F45" i="9"/>
  <c r="H45" i="9"/>
  <c r="L45" i="9"/>
  <c r="N45" i="9"/>
  <c r="F46" i="9"/>
  <c r="H46" i="9"/>
  <c r="L46" i="9"/>
  <c r="N46" i="9"/>
  <c r="I55" i="9"/>
  <c r="C56" i="9"/>
  <c r="I56" i="9"/>
  <c r="R58" i="9"/>
  <c r="S58" i="9"/>
  <c r="R60" i="9"/>
  <c r="S60" i="9"/>
  <c r="I69" i="9" s="1"/>
  <c r="I70" i="9" s="1"/>
  <c r="R61" i="9"/>
  <c r="S61" i="9"/>
  <c r="R62" i="9"/>
  <c r="S62" i="9"/>
  <c r="R63" i="9"/>
  <c r="S63" i="9"/>
  <c r="I72" i="9"/>
  <c r="I73" i="9"/>
  <c r="B75" i="9"/>
  <c r="I76" i="9"/>
  <c r="O76" i="9"/>
  <c r="I80" i="9"/>
  <c r="O81" i="9"/>
  <c r="A84" i="9"/>
  <c r="A85" i="9"/>
  <c r="B5" i="4"/>
  <c r="B6" i="4"/>
  <c r="B8" i="4"/>
  <c r="B9" i="4"/>
  <c r="A15" i="4"/>
  <c r="A1" i="7"/>
  <c r="X4" i="7"/>
  <c r="X5" i="7"/>
  <c r="X6" i="7"/>
  <c r="X7" i="7"/>
  <c r="X8" i="7"/>
  <c r="X9" i="7"/>
  <c r="T10" i="7"/>
  <c r="U10" i="7"/>
  <c r="X10" i="7"/>
  <c r="AH10" i="7"/>
  <c r="AJ10" i="7" s="1"/>
  <c r="AI10" i="7"/>
  <c r="X11" i="7"/>
  <c r="X12" i="7"/>
  <c r="X13" i="7"/>
  <c r="X14" i="7"/>
  <c r="X15" i="7"/>
  <c r="X16" i="7"/>
  <c r="U17" i="7"/>
  <c r="X17" i="7"/>
  <c r="AI17" i="7"/>
  <c r="T18" i="7"/>
  <c r="U18" i="7"/>
  <c r="X18" i="7"/>
  <c r="AH18" i="7"/>
  <c r="AJ18" i="7" s="1"/>
  <c r="AI18" i="7"/>
  <c r="T19" i="7"/>
  <c r="U19" i="7"/>
  <c r="X19" i="7"/>
  <c r="AH19" i="7"/>
  <c r="T20" i="7"/>
  <c r="U20" i="7"/>
  <c r="X20" i="7"/>
  <c r="AH20" i="7"/>
  <c r="AJ20" i="7" s="1"/>
  <c r="AI20" i="7"/>
  <c r="T21" i="7"/>
  <c r="U21" i="7"/>
  <c r="X21" i="7"/>
  <c r="AH21" i="7"/>
  <c r="AJ21" i="7" s="1"/>
  <c r="AI21" i="7"/>
  <c r="T22" i="7"/>
  <c r="U22" i="7"/>
  <c r="X22" i="7"/>
  <c r="AH22" i="7"/>
  <c r="AJ22" i="7" s="1"/>
  <c r="AI22" i="7"/>
  <c r="T23" i="7"/>
  <c r="U23" i="7"/>
  <c r="X23" i="7"/>
  <c r="AH23" i="7"/>
  <c r="T24" i="7"/>
  <c r="U24" i="7"/>
  <c r="X24" i="7"/>
  <c r="AH24" i="7"/>
  <c r="AJ24" i="7" s="1"/>
  <c r="AI24" i="7"/>
  <c r="T25" i="7"/>
  <c r="U25" i="7"/>
  <c r="X25" i="7"/>
  <c r="AH25" i="7"/>
  <c r="AJ25" i="7" s="1"/>
  <c r="AI25" i="7"/>
  <c r="T26" i="7"/>
  <c r="U26" i="7"/>
  <c r="X26" i="7"/>
  <c r="AH26" i="7"/>
  <c r="AJ26" i="7" s="1"/>
  <c r="AI26" i="7"/>
  <c r="T27" i="7"/>
  <c r="U27" i="7"/>
  <c r="X27" i="7"/>
  <c r="AH27" i="7"/>
  <c r="T28" i="7"/>
  <c r="U28" i="7"/>
  <c r="X28" i="7"/>
  <c r="AH28" i="7"/>
  <c r="AJ28" i="7" s="1"/>
  <c r="AI28" i="7"/>
  <c r="T29" i="7"/>
  <c r="U29" i="7"/>
  <c r="X29" i="7"/>
  <c r="AH29" i="7"/>
  <c r="AJ29" i="7" s="1"/>
  <c r="AI29" i="7"/>
  <c r="T30" i="7"/>
  <c r="U30" i="7"/>
  <c r="X30" i="7"/>
  <c r="AH30" i="7"/>
  <c r="AJ30" i="7" s="1"/>
  <c r="AI30" i="7"/>
  <c r="T31" i="7"/>
  <c r="U31" i="7"/>
  <c r="X31" i="7"/>
  <c r="AH31" i="7"/>
  <c r="T32" i="7"/>
  <c r="U32" i="7"/>
  <c r="X32" i="7"/>
  <c r="AH32" i="7"/>
  <c r="AJ32" i="7" s="1"/>
  <c r="AI32" i="7"/>
  <c r="T33" i="7"/>
  <c r="U33" i="7"/>
  <c r="X33" i="7"/>
  <c r="AH33" i="7"/>
  <c r="AJ33" i="7" s="1"/>
  <c r="AI33" i="7"/>
  <c r="T34" i="7"/>
  <c r="U34" i="7"/>
  <c r="X34" i="7"/>
  <c r="AH34" i="7"/>
  <c r="AJ34" i="7" s="1"/>
  <c r="AI34" i="7"/>
  <c r="T35" i="7"/>
  <c r="U35" i="7"/>
  <c r="X35" i="7"/>
  <c r="AH35" i="7"/>
  <c r="T36" i="7"/>
  <c r="U36" i="7"/>
  <c r="X36" i="7"/>
  <c r="AH36" i="7"/>
  <c r="AJ36" i="7" s="1"/>
  <c r="AI36" i="7"/>
  <c r="T37" i="7"/>
  <c r="U37" i="7"/>
  <c r="X37" i="7"/>
  <c r="AH37" i="7"/>
  <c r="AJ37" i="7" s="1"/>
  <c r="AI37" i="7"/>
  <c r="T38" i="7"/>
  <c r="U38" i="7"/>
  <c r="X38" i="7"/>
  <c r="AH38" i="7"/>
  <c r="AJ38" i="7" s="1"/>
  <c r="AI38" i="7"/>
  <c r="T39" i="7"/>
  <c r="U39" i="7"/>
  <c r="X39" i="7"/>
  <c r="AH39" i="7"/>
  <c r="T40" i="7"/>
  <c r="U40" i="7"/>
  <c r="X40" i="7"/>
  <c r="AH40" i="7"/>
  <c r="AJ40" i="7" s="1"/>
  <c r="AI40" i="7"/>
  <c r="T41" i="7"/>
  <c r="U41" i="7"/>
  <c r="X41" i="7"/>
  <c r="AH41" i="7"/>
  <c r="AJ41" i="7" s="1"/>
  <c r="AI41" i="7"/>
  <c r="T42" i="7"/>
  <c r="U42" i="7"/>
  <c r="X42" i="7"/>
  <c r="AH42" i="7"/>
  <c r="AJ42" i="7" s="1"/>
  <c r="AI42" i="7"/>
  <c r="T43" i="7"/>
  <c r="U43" i="7"/>
  <c r="X43" i="7"/>
  <c r="AH43" i="7"/>
  <c r="T44" i="7"/>
  <c r="U44" i="7"/>
  <c r="X44" i="7"/>
  <c r="AH44" i="7"/>
  <c r="AJ44" i="7" s="1"/>
  <c r="AI44" i="7"/>
  <c r="T45" i="7"/>
  <c r="U45" i="7"/>
  <c r="X45" i="7"/>
  <c r="AH45" i="7"/>
  <c r="AJ45" i="7" s="1"/>
  <c r="AI45" i="7"/>
  <c r="U46" i="7"/>
  <c r="X46" i="7"/>
  <c r="U47" i="7"/>
  <c r="X47" i="7"/>
  <c r="U48" i="7"/>
  <c r="X48" i="7"/>
  <c r="U49" i="7"/>
  <c r="X49" i="7"/>
  <c r="AI49" i="7"/>
  <c r="T50" i="7"/>
  <c r="U50" i="7"/>
  <c r="X50" i="7"/>
  <c r="AH50" i="7"/>
  <c r="AJ50" i="7" s="1"/>
  <c r="AI50" i="7"/>
  <c r="T51" i="7"/>
  <c r="U51" i="7"/>
  <c r="X51" i="7"/>
  <c r="AH51" i="7"/>
  <c r="AJ51" i="7" s="1"/>
  <c r="AI51" i="7"/>
  <c r="T52" i="7"/>
  <c r="U52" i="7"/>
  <c r="X52" i="7"/>
  <c r="AH52" i="7"/>
  <c r="T53" i="7"/>
  <c r="U53" i="7"/>
  <c r="X53" i="7"/>
  <c r="AH53" i="7"/>
  <c r="AJ53" i="7" s="1"/>
  <c r="AI53" i="7"/>
  <c r="T54" i="7"/>
  <c r="U54" i="7"/>
  <c r="X54" i="7"/>
  <c r="AH54" i="7"/>
  <c r="AJ54" i="7" s="1"/>
  <c r="AI54" i="7"/>
  <c r="T55" i="7"/>
  <c r="U55" i="7"/>
  <c r="X55" i="7"/>
  <c r="AH55" i="7"/>
  <c r="AJ55" i="7" s="1"/>
  <c r="AI55" i="7"/>
  <c r="T56" i="7"/>
  <c r="U56" i="7"/>
  <c r="X56" i="7"/>
  <c r="AH56" i="7"/>
  <c r="T57" i="7"/>
  <c r="U57" i="7"/>
  <c r="X57" i="7"/>
  <c r="AH57" i="7"/>
  <c r="AJ57" i="7" s="1"/>
  <c r="AI57" i="7"/>
  <c r="T58" i="7"/>
  <c r="U58" i="7"/>
  <c r="X58" i="7"/>
  <c r="AH58" i="7"/>
  <c r="AJ58" i="7" s="1"/>
  <c r="AI58" i="7"/>
  <c r="T59" i="7"/>
  <c r="U59" i="7"/>
  <c r="X59" i="7"/>
  <c r="AH59" i="7"/>
  <c r="AJ59" i="7" s="1"/>
  <c r="AI59" i="7"/>
  <c r="T60" i="7"/>
  <c r="U60" i="7"/>
  <c r="X60" i="7"/>
  <c r="AH60" i="7"/>
  <c r="T61" i="7"/>
  <c r="U61" i="7"/>
  <c r="X61" i="7"/>
  <c r="AH61" i="7"/>
  <c r="AJ61" i="7" s="1"/>
  <c r="AI61" i="7"/>
  <c r="T62" i="7"/>
  <c r="U62" i="7"/>
  <c r="X62" i="7"/>
  <c r="AH62" i="7"/>
  <c r="AJ62" i="7" s="1"/>
  <c r="AI62" i="7"/>
  <c r="T63" i="7"/>
  <c r="U63" i="7"/>
  <c r="X63" i="7"/>
  <c r="AH63" i="7"/>
  <c r="AJ63" i="7" s="1"/>
  <c r="AI63" i="7"/>
  <c r="T64" i="7"/>
  <c r="U64" i="7"/>
  <c r="X64" i="7"/>
  <c r="AH64" i="7"/>
  <c r="T65" i="7"/>
  <c r="U65" i="7"/>
  <c r="X65" i="7"/>
  <c r="AH65" i="7"/>
  <c r="AJ65" i="7" s="1"/>
  <c r="AI65" i="7"/>
  <c r="T66" i="7"/>
  <c r="U66" i="7"/>
  <c r="X66" i="7"/>
  <c r="AH66" i="7"/>
  <c r="AJ66" i="7" s="1"/>
  <c r="AI66" i="7"/>
  <c r="T67" i="7"/>
  <c r="U67" i="7"/>
  <c r="X67" i="7"/>
  <c r="AH67" i="7"/>
  <c r="AJ67" i="7" s="1"/>
  <c r="AI67" i="7"/>
  <c r="T68" i="7"/>
  <c r="U68" i="7"/>
  <c r="X68" i="7"/>
  <c r="AH68" i="7"/>
  <c r="T69" i="7"/>
  <c r="U69" i="7"/>
  <c r="X69" i="7"/>
  <c r="AH69" i="7"/>
  <c r="AJ69" i="7" s="1"/>
  <c r="AI69" i="7"/>
  <c r="T70" i="7"/>
  <c r="U70" i="7"/>
  <c r="X70" i="7"/>
  <c r="AH70" i="7"/>
  <c r="AJ70" i="7" s="1"/>
  <c r="AI70" i="7"/>
  <c r="T71" i="7"/>
  <c r="U71" i="7"/>
  <c r="X71" i="7"/>
  <c r="AH71" i="7"/>
  <c r="AJ71" i="7" s="1"/>
  <c r="AI71" i="7"/>
  <c r="T72" i="7"/>
  <c r="U72" i="7"/>
  <c r="X72" i="7"/>
  <c r="AH72" i="7"/>
  <c r="T73" i="7"/>
  <c r="U73" i="7"/>
  <c r="X73" i="7"/>
  <c r="AH73" i="7"/>
  <c r="AJ73" i="7" s="1"/>
  <c r="AI73" i="7"/>
  <c r="T74" i="7"/>
  <c r="U74" i="7"/>
  <c r="X74" i="7"/>
  <c r="AH74" i="7"/>
  <c r="AJ74" i="7" s="1"/>
  <c r="AI74" i="7"/>
  <c r="T75" i="7"/>
  <c r="U75" i="7"/>
  <c r="X75" i="7"/>
  <c r="AH75" i="7"/>
  <c r="AJ75" i="7" s="1"/>
  <c r="AI75" i="7"/>
  <c r="T76" i="7"/>
  <c r="U76" i="7"/>
  <c r="X76" i="7"/>
  <c r="AH76" i="7"/>
  <c r="T77" i="7"/>
  <c r="U77" i="7"/>
  <c r="X77" i="7"/>
  <c r="AH77" i="7"/>
  <c r="AJ77" i="7" s="1"/>
  <c r="AI77" i="7"/>
  <c r="T78" i="7"/>
  <c r="U78" i="7"/>
  <c r="X78" i="7"/>
  <c r="AH78" i="7"/>
  <c r="AJ78" i="7" s="1"/>
  <c r="AI78" i="7"/>
  <c r="T79" i="7"/>
  <c r="U79" i="7"/>
  <c r="X79" i="7"/>
  <c r="AH79" i="7"/>
  <c r="AJ79" i="7" s="1"/>
  <c r="AI79" i="7"/>
  <c r="T80" i="7"/>
  <c r="U80" i="7"/>
  <c r="X80" i="7"/>
  <c r="AH80" i="7"/>
  <c r="T81" i="7"/>
  <c r="U81" i="7"/>
  <c r="X81" i="7"/>
  <c r="AH81" i="7"/>
  <c r="AJ81" i="7" s="1"/>
  <c r="AI81" i="7"/>
  <c r="T82" i="7"/>
  <c r="U82" i="7"/>
  <c r="X82" i="7"/>
  <c r="AH82" i="7"/>
  <c r="AJ82" i="7" s="1"/>
  <c r="AI82" i="7"/>
  <c r="T83" i="7"/>
  <c r="U83" i="7"/>
  <c r="X83" i="7"/>
  <c r="AH83" i="7"/>
  <c r="AJ83" i="7" s="1"/>
  <c r="AI83" i="7"/>
  <c r="T84" i="7"/>
  <c r="U84" i="7"/>
  <c r="X84" i="7"/>
  <c r="AH84" i="7"/>
  <c r="T85" i="7"/>
  <c r="U85" i="7"/>
  <c r="X85" i="7"/>
  <c r="AH85" i="7"/>
  <c r="AJ85" i="7" s="1"/>
  <c r="AI85" i="7"/>
  <c r="T86" i="7"/>
  <c r="U86" i="7"/>
  <c r="X86" i="7"/>
  <c r="AH86" i="7"/>
  <c r="AJ86" i="7" s="1"/>
  <c r="AI86" i="7"/>
  <c r="T87" i="7"/>
  <c r="U87" i="7"/>
  <c r="X87" i="7"/>
  <c r="AH87" i="7"/>
  <c r="AJ87" i="7" s="1"/>
  <c r="AI87" i="7"/>
  <c r="T88" i="7"/>
  <c r="U88" i="7"/>
  <c r="X88" i="7"/>
  <c r="AH88" i="7"/>
  <c r="T89" i="7"/>
  <c r="U89" i="7"/>
  <c r="X89" i="7"/>
  <c r="AH89" i="7"/>
  <c r="AJ89" i="7" s="1"/>
  <c r="AI89" i="7"/>
  <c r="T90" i="7"/>
  <c r="U90" i="7"/>
  <c r="X90" i="7"/>
  <c r="AH90" i="7"/>
  <c r="AJ90" i="7" s="1"/>
  <c r="AI90" i="7"/>
  <c r="T91" i="7"/>
  <c r="U91" i="7"/>
  <c r="X91" i="7"/>
  <c r="AH91" i="7"/>
  <c r="AJ91" i="7" s="1"/>
  <c r="AI91" i="7"/>
  <c r="T92" i="7"/>
  <c r="U92" i="7"/>
  <c r="X92" i="7"/>
  <c r="AH92" i="7"/>
  <c r="T93" i="7"/>
  <c r="U93" i="7"/>
  <c r="X93" i="7"/>
  <c r="AH93" i="7"/>
  <c r="AJ93" i="7" s="1"/>
  <c r="AI93" i="7"/>
  <c r="T94" i="7"/>
  <c r="U94" i="7"/>
  <c r="X94" i="7"/>
  <c r="AH94" i="7"/>
  <c r="AJ94" i="7" s="1"/>
  <c r="AI94" i="7"/>
  <c r="T95" i="7"/>
  <c r="U95" i="7"/>
  <c r="X95" i="7"/>
  <c r="AH95" i="7"/>
  <c r="AJ95" i="7" s="1"/>
  <c r="AI95" i="7"/>
  <c r="T96" i="7"/>
  <c r="U96" i="7"/>
  <c r="X96" i="7"/>
  <c r="AH96" i="7"/>
  <c r="T97" i="7"/>
  <c r="U97" i="7"/>
  <c r="X97" i="7"/>
  <c r="AH97" i="7"/>
  <c r="AJ97" i="7" s="1"/>
  <c r="AI97" i="7"/>
  <c r="T98" i="7"/>
  <c r="U98" i="7"/>
  <c r="X98" i="7"/>
  <c r="AH98" i="7"/>
  <c r="AJ98" i="7" s="1"/>
  <c r="AI98" i="7"/>
  <c r="T99" i="7"/>
  <c r="U99" i="7"/>
  <c r="X99" i="7"/>
  <c r="AH99" i="7"/>
  <c r="AJ99" i="7" s="1"/>
  <c r="AI99" i="7"/>
  <c r="T100" i="7"/>
  <c r="U100" i="7"/>
  <c r="X100" i="7"/>
  <c r="AH100" i="7"/>
  <c r="T101" i="7"/>
  <c r="U101" i="7"/>
  <c r="X101" i="7"/>
  <c r="AH101" i="7"/>
  <c r="AJ101" i="7" s="1"/>
  <c r="AI101" i="7"/>
  <c r="T102" i="7"/>
  <c r="U102" i="7"/>
  <c r="X102" i="7"/>
  <c r="AH102" i="7"/>
  <c r="AJ102" i="7" s="1"/>
  <c r="AI102" i="7"/>
  <c r="T103" i="7"/>
  <c r="U103" i="7"/>
  <c r="X103" i="7"/>
  <c r="AH103" i="7"/>
  <c r="AJ103" i="7" s="1"/>
  <c r="AI103" i="7"/>
  <c r="T104" i="7"/>
  <c r="U104" i="7"/>
  <c r="X104" i="7"/>
  <c r="AH104" i="7"/>
  <c r="T105" i="7"/>
  <c r="U105" i="7"/>
  <c r="X105" i="7"/>
  <c r="AH105" i="7"/>
  <c r="AJ105" i="7" s="1"/>
  <c r="AI105" i="7"/>
  <c r="T106" i="7"/>
  <c r="U106" i="7"/>
  <c r="X106" i="7"/>
  <c r="AH106" i="7"/>
  <c r="AJ106" i="7" s="1"/>
  <c r="AI106" i="7"/>
  <c r="T107" i="7"/>
  <c r="U107" i="7"/>
  <c r="X107" i="7"/>
  <c r="AH107" i="7"/>
  <c r="AJ107" i="7" s="1"/>
  <c r="AI107" i="7"/>
  <c r="T108" i="7"/>
  <c r="U108" i="7"/>
  <c r="X108" i="7"/>
  <c r="AH108" i="7"/>
  <c r="T109" i="7"/>
  <c r="U109" i="7"/>
  <c r="X109" i="7"/>
  <c r="AH109" i="7"/>
  <c r="AJ109" i="7" s="1"/>
  <c r="AI109" i="7"/>
  <c r="T110" i="7"/>
  <c r="U110" i="7"/>
  <c r="X110" i="7"/>
  <c r="AH110" i="7"/>
  <c r="AJ110" i="7" s="1"/>
  <c r="AI110" i="7"/>
  <c r="T111" i="7"/>
  <c r="U111" i="7"/>
  <c r="X111" i="7"/>
  <c r="AH111" i="7"/>
  <c r="AJ111" i="7" s="1"/>
  <c r="AI111" i="7"/>
  <c r="T112" i="7"/>
  <c r="U112" i="7"/>
  <c r="X112" i="7"/>
  <c r="AH112" i="7"/>
  <c r="T113" i="7"/>
  <c r="U113" i="7"/>
  <c r="X113" i="7"/>
  <c r="AH113" i="7"/>
  <c r="AJ113" i="7" s="1"/>
  <c r="AI113" i="7"/>
  <c r="T114" i="7"/>
  <c r="U114" i="7"/>
  <c r="X114" i="7"/>
  <c r="AH114" i="7"/>
  <c r="AJ114" i="7" s="1"/>
  <c r="AI114" i="7"/>
  <c r="T115" i="7"/>
  <c r="U115" i="7"/>
  <c r="X115" i="7"/>
  <c r="AH115" i="7"/>
  <c r="AJ115" i="7" s="1"/>
  <c r="AI115" i="7"/>
  <c r="T116" i="7"/>
  <c r="U116" i="7"/>
  <c r="X116" i="7"/>
  <c r="AH116" i="7"/>
  <c r="T117" i="7"/>
  <c r="U117" i="7"/>
  <c r="X117" i="7"/>
  <c r="AH117" i="7"/>
  <c r="AJ117" i="7" s="1"/>
  <c r="AI117" i="7"/>
  <c r="T118" i="7"/>
  <c r="U118" i="7"/>
  <c r="X118" i="7"/>
  <c r="AH118" i="7"/>
  <c r="AJ118" i="7" s="1"/>
  <c r="AI118" i="7"/>
  <c r="T119" i="7"/>
  <c r="U119" i="7"/>
  <c r="X119" i="7"/>
  <c r="AH119" i="7"/>
  <c r="AJ119" i="7" s="1"/>
  <c r="AI119" i="7"/>
  <c r="T120" i="7"/>
  <c r="U120" i="7"/>
  <c r="X120" i="7"/>
  <c r="AH120" i="7"/>
  <c r="T121" i="7"/>
  <c r="U121" i="7"/>
  <c r="X121" i="7"/>
  <c r="AH121" i="7"/>
  <c r="AJ121" i="7" s="1"/>
  <c r="AI121" i="7"/>
  <c r="T122" i="7"/>
  <c r="U122" i="7"/>
  <c r="X122" i="7"/>
  <c r="AH122" i="7"/>
  <c r="AJ122" i="7" s="1"/>
  <c r="AI122" i="7"/>
  <c r="T123" i="7"/>
  <c r="U123" i="7"/>
  <c r="X123" i="7"/>
  <c r="AH123" i="7"/>
  <c r="AJ123" i="7" s="1"/>
  <c r="AI123" i="7"/>
  <c r="T124" i="7"/>
  <c r="U124" i="7"/>
  <c r="X124" i="7"/>
  <c r="AH124" i="7"/>
  <c r="T125" i="7"/>
  <c r="U125" i="7"/>
  <c r="X125" i="7"/>
  <c r="AH125" i="7"/>
  <c r="AJ125" i="7" s="1"/>
  <c r="AI125" i="7"/>
  <c r="T126" i="7"/>
  <c r="U126" i="7"/>
  <c r="X126" i="7"/>
  <c r="AH126" i="7"/>
  <c r="AJ126" i="7" s="1"/>
  <c r="AI126" i="7"/>
  <c r="T127" i="7"/>
  <c r="U127" i="7"/>
  <c r="X127" i="7"/>
  <c r="AH127" i="7"/>
  <c r="AJ127" i="7" s="1"/>
  <c r="AI127" i="7"/>
  <c r="T128" i="7"/>
  <c r="U128" i="7"/>
  <c r="X128" i="7"/>
  <c r="AH128" i="7"/>
  <c r="T129" i="7"/>
  <c r="U129" i="7"/>
  <c r="X129" i="7"/>
  <c r="AH129" i="7"/>
  <c r="AJ129" i="7" s="1"/>
  <c r="AI129" i="7"/>
  <c r="T130" i="7"/>
  <c r="U130" i="7"/>
  <c r="X130" i="7"/>
  <c r="AH130" i="7"/>
  <c r="AJ130" i="7" s="1"/>
  <c r="AI130" i="7"/>
  <c r="T131" i="7"/>
  <c r="U131" i="7"/>
  <c r="X131" i="7"/>
  <c r="AH131" i="7"/>
  <c r="AJ131" i="7" s="1"/>
  <c r="AI131" i="7"/>
  <c r="T132" i="7"/>
  <c r="U132" i="7"/>
  <c r="X132" i="7"/>
  <c r="AH132" i="7"/>
  <c r="T133" i="7"/>
  <c r="U133" i="7"/>
  <c r="X133" i="7"/>
  <c r="AH133" i="7"/>
  <c r="AJ133" i="7" s="1"/>
  <c r="AI133" i="7"/>
  <c r="T134" i="7"/>
  <c r="U134" i="7"/>
  <c r="X134" i="7"/>
  <c r="AH134" i="7"/>
  <c r="AJ134" i="7" s="1"/>
  <c r="AI134" i="7"/>
  <c r="T135" i="7"/>
  <c r="U135" i="7"/>
  <c r="X135" i="7"/>
  <c r="AH135" i="7"/>
  <c r="AJ135" i="7" s="1"/>
  <c r="AI135" i="7"/>
  <c r="T136" i="7"/>
  <c r="U136" i="7"/>
  <c r="X136" i="7"/>
  <c r="AH136" i="7"/>
  <c r="T137" i="7"/>
  <c r="U137" i="7"/>
  <c r="X137" i="7"/>
  <c r="AH137" i="7"/>
  <c r="AJ137" i="7" s="1"/>
  <c r="AI137" i="7"/>
  <c r="T138" i="7"/>
  <c r="U138" i="7"/>
  <c r="X138" i="7"/>
  <c r="AH138" i="7"/>
  <c r="AJ138" i="7" s="1"/>
  <c r="AI138" i="7"/>
  <c r="T139" i="7"/>
  <c r="U139" i="7"/>
  <c r="X139" i="7"/>
  <c r="AH139" i="7"/>
  <c r="AJ139" i="7" s="1"/>
  <c r="AI139" i="7"/>
  <c r="T140" i="7"/>
  <c r="U140" i="7"/>
  <c r="X140" i="7"/>
  <c r="AH140" i="7"/>
  <c r="T141" i="7"/>
  <c r="U141" i="7"/>
  <c r="X141" i="7"/>
  <c r="AH141" i="7"/>
  <c r="AJ141" i="7" s="1"/>
  <c r="AI141" i="7"/>
  <c r="T142" i="7"/>
  <c r="U142" i="7"/>
  <c r="X142" i="7"/>
  <c r="AH142" i="7"/>
  <c r="AJ142" i="7" s="1"/>
  <c r="AI142" i="7"/>
  <c r="T143" i="7"/>
  <c r="U143" i="7"/>
  <c r="X143" i="7"/>
  <c r="AH143" i="7"/>
  <c r="AJ143" i="7" s="1"/>
  <c r="AI143" i="7"/>
  <c r="T144" i="7"/>
  <c r="U144" i="7"/>
  <c r="X144" i="7"/>
  <c r="AH144" i="7"/>
  <c r="T145" i="7"/>
  <c r="U145" i="7"/>
  <c r="X145" i="7"/>
  <c r="AH145" i="7"/>
  <c r="AJ145" i="7" s="1"/>
  <c r="AI145" i="7"/>
  <c r="T146" i="7"/>
  <c r="U146" i="7"/>
  <c r="X146" i="7"/>
  <c r="AH146" i="7"/>
  <c r="AJ146" i="7" s="1"/>
  <c r="AI146" i="7"/>
  <c r="T147" i="7"/>
  <c r="U147" i="7"/>
  <c r="X147" i="7"/>
  <c r="AH147" i="7"/>
  <c r="AJ147" i="7" s="1"/>
  <c r="AI147" i="7"/>
  <c r="T148" i="7"/>
  <c r="U148" i="7"/>
  <c r="X148" i="7"/>
  <c r="AH148" i="7"/>
  <c r="T149" i="7"/>
  <c r="U149" i="7"/>
  <c r="X149" i="7"/>
  <c r="AH149" i="7"/>
  <c r="AJ149" i="7" s="1"/>
  <c r="AI149" i="7"/>
  <c r="T150" i="7"/>
  <c r="U150" i="7"/>
  <c r="X150" i="7"/>
  <c r="AH150" i="7"/>
  <c r="AJ150" i="7" s="1"/>
  <c r="AI150" i="7"/>
  <c r="T151" i="7"/>
  <c r="U151" i="7"/>
  <c r="X151" i="7"/>
  <c r="AH151" i="7"/>
  <c r="AJ151" i="7" s="1"/>
  <c r="AI151" i="7"/>
  <c r="T152" i="7"/>
  <c r="U152" i="7"/>
  <c r="X152" i="7"/>
  <c r="AH152" i="7"/>
  <c r="T153" i="7"/>
  <c r="U153" i="7"/>
  <c r="X153" i="7"/>
  <c r="AH153" i="7"/>
  <c r="AJ153" i="7" s="1"/>
  <c r="AI153" i="7"/>
  <c r="T154" i="7"/>
  <c r="U154" i="7"/>
  <c r="X154" i="7"/>
  <c r="AH154" i="7"/>
  <c r="AJ154" i="7" s="1"/>
  <c r="AI154" i="7"/>
  <c r="T155" i="7"/>
  <c r="U155" i="7"/>
  <c r="X155" i="7"/>
  <c r="AH155" i="7"/>
  <c r="AJ155" i="7" s="1"/>
  <c r="AI155" i="7"/>
  <c r="T156" i="7"/>
  <c r="U156" i="7"/>
  <c r="X156" i="7"/>
  <c r="AH156" i="7"/>
  <c r="T157" i="7"/>
  <c r="U157" i="7"/>
  <c r="X157" i="7"/>
  <c r="AH157" i="7"/>
  <c r="AJ157" i="7" s="1"/>
  <c r="AI157" i="7"/>
  <c r="T158" i="7"/>
  <c r="U158" i="7"/>
  <c r="X158" i="7"/>
  <c r="AH158" i="7"/>
  <c r="AJ158" i="7" s="1"/>
  <c r="AI158" i="7"/>
  <c r="T159" i="7"/>
  <c r="U159" i="7"/>
  <c r="X159" i="7"/>
  <c r="AH159" i="7"/>
  <c r="AJ159" i="7" s="1"/>
  <c r="AI159" i="7"/>
  <c r="T160" i="7"/>
  <c r="U160" i="7"/>
  <c r="X160" i="7"/>
  <c r="AH160" i="7"/>
  <c r="T161" i="7"/>
  <c r="U161" i="7"/>
  <c r="X161" i="7"/>
  <c r="AH161" i="7"/>
  <c r="AJ161" i="7" s="1"/>
  <c r="AI161" i="7"/>
  <c r="T162" i="7"/>
  <c r="U162" i="7"/>
  <c r="X162" i="7"/>
  <c r="AH162" i="7"/>
  <c r="AJ162" i="7" s="1"/>
  <c r="AI162" i="7"/>
  <c r="T163" i="7"/>
  <c r="U163" i="7"/>
  <c r="X163" i="7"/>
  <c r="AH163" i="7"/>
  <c r="AJ163" i="7" s="1"/>
  <c r="AI163" i="7"/>
  <c r="T164" i="7"/>
  <c r="U164" i="7"/>
  <c r="X164" i="7"/>
  <c r="AH164" i="7"/>
  <c r="T165" i="7"/>
  <c r="U165" i="7"/>
  <c r="X165" i="7"/>
  <c r="AH165" i="7"/>
  <c r="AJ165" i="7" s="1"/>
  <c r="AI165" i="7"/>
  <c r="T166" i="7"/>
  <c r="U166" i="7"/>
  <c r="X166" i="7"/>
  <c r="AH166" i="7"/>
  <c r="AJ166" i="7" s="1"/>
  <c r="AI166" i="7"/>
  <c r="T167" i="7"/>
  <c r="U167" i="7"/>
  <c r="X167" i="7"/>
  <c r="AH167" i="7"/>
  <c r="AJ167" i="7" s="1"/>
  <c r="AI167" i="7"/>
  <c r="T168" i="7"/>
  <c r="U168" i="7"/>
  <c r="X168" i="7"/>
  <c r="AH168" i="7"/>
  <c r="T169" i="7"/>
  <c r="U169" i="7"/>
  <c r="X169" i="7"/>
  <c r="AH169" i="7"/>
  <c r="AJ169" i="7" s="1"/>
  <c r="AI169" i="7"/>
  <c r="T170" i="7"/>
  <c r="U170" i="7"/>
  <c r="X170" i="7"/>
  <c r="AH170" i="7"/>
  <c r="AJ170" i="7" s="1"/>
  <c r="AI170" i="7"/>
  <c r="T171" i="7"/>
  <c r="U171" i="7"/>
  <c r="X171" i="7"/>
  <c r="AH171" i="7"/>
  <c r="AJ171" i="7" s="1"/>
  <c r="AI171" i="7"/>
  <c r="T172" i="7"/>
  <c r="U172" i="7"/>
  <c r="X172" i="7"/>
  <c r="AH172" i="7"/>
  <c r="T173" i="7"/>
  <c r="U173" i="7"/>
  <c r="X173" i="7"/>
  <c r="AH173" i="7"/>
  <c r="AJ173" i="7" s="1"/>
  <c r="AI173" i="7"/>
  <c r="T174" i="7"/>
  <c r="U174" i="7"/>
  <c r="X174" i="7"/>
  <c r="AH174" i="7"/>
  <c r="AJ174" i="7" s="1"/>
  <c r="AI174" i="7"/>
  <c r="T175" i="7"/>
  <c r="U175" i="7"/>
  <c r="X175" i="7"/>
  <c r="AH175" i="7"/>
  <c r="AJ175" i="7" s="1"/>
  <c r="AI175" i="7"/>
  <c r="T176" i="7"/>
  <c r="U176" i="7"/>
  <c r="X176" i="7"/>
  <c r="AH176" i="7"/>
  <c r="T177" i="7"/>
  <c r="U177" i="7"/>
  <c r="X177" i="7"/>
  <c r="AH177" i="7"/>
  <c r="AJ177" i="7" s="1"/>
  <c r="AI177" i="7"/>
  <c r="T178" i="7"/>
  <c r="U178" i="7"/>
  <c r="X178" i="7"/>
  <c r="AH178" i="7"/>
  <c r="AJ178" i="7" s="1"/>
  <c r="AI178" i="7"/>
  <c r="T179" i="7"/>
  <c r="U179" i="7"/>
  <c r="X179" i="7"/>
  <c r="AH179" i="7"/>
  <c r="AJ179" i="7" s="1"/>
  <c r="AI179" i="7"/>
  <c r="T180" i="7"/>
  <c r="U180" i="7"/>
  <c r="X180" i="7"/>
  <c r="AH180" i="7"/>
  <c r="T181" i="7"/>
  <c r="U181" i="7"/>
  <c r="X181" i="7"/>
  <c r="AH181" i="7"/>
  <c r="AJ181" i="7" s="1"/>
  <c r="AI181" i="7"/>
  <c r="T182" i="7"/>
  <c r="U182" i="7"/>
  <c r="X182" i="7"/>
  <c r="AH182" i="7"/>
  <c r="AJ182" i="7" s="1"/>
  <c r="AI182" i="7"/>
  <c r="T183" i="7"/>
  <c r="U183" i="7"/>
  <c r="X183" i="7"/>
  <c r="AH183" i="7"/>
  <c r="AJ183" i="7" s="1"/>
  <c r="AI183" i="7"/>
  <c r="T184" i="7"/>
  <c r="U184" i="7"/>
  <c r="X184" i="7"/>
  <c r="AH184" i="7"/>
  <c r="T185" i="7"/>
  <c r="U185" i="7"/>
  <c r="X185" i="7"/>
  <c r="AH185" i="7"/>
  <c r="AJ185" i="7" s="1"/>
  <c r="AI185" i="7"/>
  <c r="T186" i="7"/>
  <c r="U186" i="7"/>
  <c r="X186" i="7"/>
  <c r="AH186" i="7"/>
  <c r="AJ186" i="7" s="1"/>
  <c r="AI186" i="7"/>
  <c r="T187" i="7"/>
  <c r="U187" i="7"/>
  <c r="X187" i="7"/>
  <c r="AH187" i="7"/>
  <c r="AJ187" i="7" s="1"/>
  <c r="AI187" i="7"/>
  <c r="T188" i="7"/>
  <c r="U188" i="7"/>
  <c r="X188" i="7"/>
  <c r="AH188" i="7"/>
  <c r="T189" i="7"/>
  <c r="U189" i="7"/>
  <c r="X189" i="7"/>
  <c r="AH189" i="7"/>
  <c r="AJ189" i="7" s="1"/>
  <c r="AI189" i="7"/>
  <c r="T190" i="7"/>
  <c r="U190" i="7"/>
  <c r="X190" i="7"/>
  <c r="AH190" i="7"/>
  <c r="AJ190" i="7" s="1"/>
  <c r="AI190" i="7"/>
  <c r="T191" i="7"/>
  <c r="U191" i="7"/>
  <c r="X191" i="7"/>
  <c r="AH191" i="7"/>
  <c r="AJ191" i="7" s="1"/>
  <c r="AI191" i="7"/>
  <c r="T192" i="7"/>
  <c r="U192" i="7"/>
  <c r="X192" i="7"/>
  <c r="AH192" i="7"/>
  <c r="T193" i="7"/>
  <c r="U193" i="7"/>
  <c r="X193" i="7"/>
  <c r="AH193" i="7"/>
  <c r="AJ193" i="7" s="1"/>
  <c r="AI193" i="7"/>
  <c r="T194" i="7"/>
  <c r="U194" i="7"/>
  <c r="X194" i="7"/>
  <c r="AH194" i="7"/>
  <c r="AJ194" i="7" s="1"/>
  <c r="AI194" i="7"/>
  <c r="T195" i="7"/>
  <c r="U195" i="7"/>
  <c r="X195" i="7"/>
  <c r="AH195" i="7"/>
  <c r="AJ195" i="7" s="1"/>
  <c r="AI195" i="7"/>
  <c r="T196" i="7"/>
  <c r="U196" i="7"/>
  <c r="X196" i="7"/>
  <c r="AH196" i="7"/>
  <c r="T197" i="7"/>
  <c r="U197" i="7"/>
  <c r="X197" i="7"/>
  <c r="AH197" i="7"/>
  <c r="AJ197" i="7" s="1"/>
  <c r="AI197" i="7"/>
  <c r="T198" i="7"/>
  <c r="U198" i="7"/>
  <c r="X198" i="7"/>
  <c r="AH198" i="7"/>
  <c r="AJ198" i="7" s="1"/>
  <c r="AI198" i="7"/>
  <c r="T199" i="7"/>
  <c r="U199" i="7"/>
  <c r="X199" i="7"/>
  <c r="AH199" i="7"/>
  <c r="AJ199" i="7" s="1"/>
  <c r="AI199" i="7"/>
  <c r="T200" i="7"/>
  <c r="U200" i="7"/>
  <c r="X200" i="7"/>
  <c r="AH200" i="7"/>
  <c r="T201" i="7"/>
  <c r="U201" i="7"/>
  <c r="X201" i="7"/>
  <c r="AH201" i="7"/>
  <c r="AJ201" i="7" s="1"/>
  <c r="AI201" i="7"/>
  <c r="T202" i="7"/>
  <c r="U202" i="7"/>
  <c r="X202" i="7"/>
  <c r="AH202" i="7"/>
  <c r="AJ202" i="7" s="1"/>
  <c r="AI202" i="7"/>
  <c r="T203" i="7"/>
  <c r="U203" i="7"/>
  <c r="X203" i="7"/>
  <c r="AH203" i="7"/>
  <c r="AJ203" i="7" s="1"/>
  <c r="AI203" i="7"/>
  <c r="T204" i="7"/>
  <c r="U204" i="7"/>
  <c r="X204" i="7"/>
  <c r="AH204" i="7"/>
  <c r="T205" i="7"/>
  <c r="U205" i="7"/>
  <c r="X205" i="7"/>
  <c r="AH205" i="7"/>
  <c r="AJ205" i="7" s="1"/>
  <c r="AI205" i="7"/>
  <c r="T206" i="7"/>
  <c r="U206" i="7"/>
  <c r="X206" i="7"/>
  <c r="AH206" i="7"/>
  <c r="AJ206" i="7" s="1"/>
  <c r="AI206" i="7"/>
  <c r="T207" i="7"/>
  <c r="U207" i="7"/>
  <c r="X207" i="7"/>
  <c r="AH207" i="7"/>
  <c r="AJ207" i="7" s="1"/>
  <c r="AI207" i="7"/>
  <c r="T208" i="7"/>
  <c r="U208" i="7"/>
  <c r="X208" i="7"/>
  <c r="AH208" i="7"/>
  <c r="T209" i="7"/>
  <c r="U209" i="7"/>
  <c r="X209" i="7"/>
  <c r="AH209" i="7"/>
  <c r="AJ209" i="7" s="1"/>
  <c r="AI209" i="7"/>
  <c r="T210" i="7"/>
  <c r="U210" i="7"/>
  <c r="X210" i="7"/>
  <c r="AH210" i="7"/>
  <c r="AJ210" i="7" s="1"/>
  <c r="AI210" i="7"/>
  <c r="T211" i="7"/>
  <c r="U211" i="7"/>
  <c r="X211" i="7"/>
  <c r="AH211" i="7"/>
  <c r="AJ211" i="7" s="1"/>
  <c r="AI211" i="7"/>
  <c r="T212" i="7"/>
  <c r="U212" i="7"/>
  <c r="X212" i="7"/>
  <c r="AH212" i="7"/>
  <c r="T213" i="7"/>
  <c r="U213" i="7"/>
  <c r="X213" i="7"/>
  <c r="AH213" i="7"/>
  <c r="AJ213" i="7" s="1"/>
  <c r="AI213" i="7"/>
  <c r="T214" i="7"/>
  <c r="U214" i="7"/>
  <c r="X214" i="7"/>
  <c r="AH214" i="7"/>
  <c r="AJ214" i="7" s="1"/>
  <c r="AI214" i="7"/>
  <c r="T215" i="7"/>
  <c r="U215" i="7"/>
  <c r="X215" i="7"/>
  <c r="AH215" i="7"/>
  <c r="AJ215" i="7" s="1"/>
  <c r="AI215" i="7"/>
  <c r="T216" i="7"/>
  <c r="U216" i="7"/>
  <c r="X216" i="7"/>
  <c r="AH216" i="7"/>
  <c r="T217" i="7"/>
  <c r="U217" i="7"/>
  <c r="X217" i="7"/>
  <c r="AH217" i="7"/>
  <c r="AJ217" i="7" s="1"/>
  <c r="AI217" i="7"/>
  <c r="T218" i="7"/>
  <c r="U218" i="7"/>
  <c r="X218" i="7"/>
  <c r="AH218" i="7"/>
  <c r="AJ218" i="7" s="1"/>
  <c r="AI218" i="7"/>
  <c r="T219" i="7"/>
  <c r="U219" i="7"/>
  <c r="X219" i="7"/>
  <c r="AH219" i="7"/>
  <c r="AJ219" i="7" s="1"/>
  <c r="AI219" i="7"/>
  <c r="T220" i="7"/>
  <c r="U220" i="7"/>
  <c r="X220" i="7"/>
  <c r="AH220" i="7"/>
  <c r="T221" i="7"/>
  <c r="U221" i="7"/>
  <c r="X221" i="7"/>
  <c r="AH221" i="7"/>
  <c r="AJ221" i="7" s="1"/>
  <c r="AI221" i="7"/>
  <c r="T222" i="7"/>
  <c r="U222" i="7"/>
  <c r="X222" i="7"/>
  <c r="AH222" i="7"/>
  <c r="AJ222" i="7" s="1"/>
  <c r="AI222" i="7"/>
  <c r="T223" i="7"/>
  <c r="U223" i="7"/>
  <c r="X223" i="7"/>
  <c r="AH223" i="7"/>
  <c r="AJ223" i="7" s="1"/>
  <c r="AI223" i="7"/>
  <c r="T224" i="7"/>
  <c r="U224" i="7"/>
  <c r="X224" i="7"/>
  <c r="AH224" i="7"/>
  <c r="T225" i="7"/>
  <c r="U225" i="7"/>
  <c r="X225" i="7"/>
  <c r="AH225" i="7"/>
  <c r="AJ225" i="7" s="1"/>
  <c r="AI225" i="7"/>
  <c r="T226" i="7"/>
  <c r="U226" i="7"/>
  <c r="X226" i="7"/>
  <c r="AH226" i="7"/>
  <c r="AJ226" i="7" s="1"/>
  <c r="AI226" i="7"/>
  <c r="T227" i="7"/>
  <c r="U227" i="7"/>
  <c r="X227" i="7"/>
  <c r="AH227" i="7"/>
  <c r="AJ227" i="7" s="1"/>
  <c r="AI227" i="7"/>
  <c r="T228" i="7"/>
  <c r="U228" i="7"/>
  <c r="X228" i="7"/>
  <c r="AH228" i="7"/>
  <c r="T229" i="7"/>
  <c r="U229" i="7"/>
  <c r="X229" i="7"/>
  <c r="AH229" i="7"/>
  <c r="AJ229" i="7" s="1"/>
  <c r="AI229" i="7"/>
  <c r="T230" i="7"/>
  <c r="U230" i="7"/>
  <c r="X230" i="7"/>
  <c r="AH230" i="7"/>
  <c r="AJ230" i="7" s="1"/>
  <c r="AI230" i="7"/>
  <c r="T231" i="7"/>
  <c r="U231" i="7"/>
  <c r="X231" i="7"/>
  <c r="AH231" i="7"/>
  <c r="AJ231" i="7" s="1"/>
  <c r="AI231" i="7"/>
  <c r="T232" i="7"/>
  <c r="U232" i="7"/>
  <c r="X232" i="7"/>
  <c r="AH232" i="7"/>
  <c r="T233" i="7"/>
  <c r="U233" i="7"/>
  <c r="X233" i="7"/>
  <c r="AH233" i="7"/>
  <c r="AJ233" i="7" s="1"/>
  <c r="AI233" i="7"/>
  <c r="T234" i="7"/>
  <c r="U234" i="7"/>
  <c r="X234" i="7"/>
  <c r="AH234" i="7"/>
  <c r="AJ234" i="7" s="1"/>
  <c r="AI234" i="7"/>
  <c r="T235" i="7"/>
  <c r="U235" i="7"/>
  <c r="X235" i="7"/>
  <c r="AH235" i="7"/>
  <c r="AJ235" i="7" s="1"/>
  <c r="AI235" i="7"/>
  <c r="T236" i="7"/>
  <c r="U236" i="7"/>
  <c r="X236" i="7"/>
  <c r="AH236" i="7"/>
  <c r="T237" i="7"/>
  <c r="U237" i="7"/>
  <c r="X237" i="7"/>
  <c r="AH237" i="7"/>
  <c r="AJ237" i="7" s="1"/>
  <c r="AI237" i="7"/>
  <c r="T238" i="7"/>
  <c r="U238" i="7"/>
  <c r="X238" i="7"/>
  <c r="AH238" i="7"/>
  <c r="AJ238" i="7" s="1"/>
  <c r="AI238" i="7"/>
  <c r="T239" i="7"/>
  <c r="U239" i="7"/>
  <c r="X239" i="7"/>
  <c r="AH239" i="7"/>
  <c r="AJ239" i="7" s="1"/>
  <c r="AI239" i="7"/>
  <c r="T240" i="7"/>
  <c r="U240" i="7"/>
  <c r="X240" i="7"/>
  <c r="AH240" i="7"/>
  <c r="T241" i="7"/>
  <c r="U241" i="7"/>
  <c r="X241" i="7"/>
  <c r="AH241" i="7"/>
  <c r="AJ241" i="7" s="1"/>
  <c r="AI241" i="7"/>
  <c r="T242" i="7"/>
  <c r="U242" i="7"/>
  <c r="X242" i="7"/>
  <c r="AH242" i="7"/>
  <c r="AJ242" i="7" s="1"/>
  <c r="AI242" i="7"/>
  <c r="T243" i="7"/>
  <c r="U243" i="7"/>
  <c r="X243" i="7"/>
  <c r="AH243" i="7"/>
  <c r="AJ243" i="7" s="1"/>
  <c r="AI243" i="7"/>
  <c r="T244" i="7"/>
  <c r="U244" i="7"/>
  <c r="X244" i="7"/>
  <c r="AH244" i="7"/>
  <c r="T245" i="7"/>
  <c r="U245" i="7"/>
  <c r="X245" i="7"/>
  <c r="AH245" i="7"/>
  <c r="AJ245" i="7" s="1"/>
  <c r="AI245" i="7"/>
  <c r="T246" i="7"/>
  <c r="U246" i="7"/>
  <c r="X246" i="7"/>
  <c r="AH246" i="7"/>
  <c r="AJ246" i="7" s="1"/>
  <c r="AI246" i="7"/>
  <c r="T247" i="7"/>
  <c r="U247" i="7"/>
  <c r="X247" i="7"/>
  <c r="AH247" i="7"/>
  <c r="AJ247" i="7" s="1"/>
  <c r="AI247" i="7"/>
  <c r="T248" i="7"/>
  <c r="U248" i="7"/>
  <c r="X248" i="7"/>
  <c r="AH248" i="7"/>
  <c r="T249" i="7"/>
  <c r="U249" i="7"/>
  <c r="X249" i="7"/>
  <c r="AH249" i="7"/>
  <c r="AJ249" i="7" s="1"/>
  <c r="AI249" i="7"/>
  <c r="T250" i="7"/>
  <c r="U250" i="7"/>
  <c r="X250" i="7"/>
  <c r="AH250" i="7"/>
  <c r="AJ250" i="7" s="1"/>
  <c r="AI250" i="7"/>
  <c r="T251" i="7"/>
  <c r="U251" i="7"/>
  <c r="X251" i="7"/>
  <c r="AH251" i="7"/>
  <c r="AJ251" i="7" s="1"/>
  <c r="AI251" i="7"/>
  <c r="T252" i="7"/>
  <c r="U252" i="7"/>
  <c r="X252" i="7"/>
  <c r="AH252" i="7"/>
  <c r="T253" i="7"/>
  <c r="U253" i="7"/>
  <c r="X253" i="7"/>
  <c r="AH253" i="7"/>
  <c r="AJ253" i="7" s="1"/>
  <c r="AI253" i="7"/>
  <c r="T254" i="7"/>
  <c r="U254" i="7"/>
  <c r="X254" i="7"/>
  <c r="AH254" i="7"/>
  <c r="AJ254" i="7" s="1"/>
  <c r="AI254" i="7"/>
  <c r="T255" i="7"/>
  <c r="U255" i="7"/>
  <c r="X255" i="7"/>
  <c r="AH255" i="7"/>
  <c r="AJ255" i="7" s="1"/>
  <c r="AI255" i="7"/>
  <c r="T256" i="7"/>
  <c r="U256" i="7"/>
  <c r="X256" i="7"/>
  <c r="AH256" i="7"/>
  <c r="T257" i="7"/>
  <c r="U257" i="7"/>
  <c r="X257" i="7"/>
  <c r="AH257" i="7"/>
  <c r="AJ257" i="7" s="1"/>
  <c r="AI257" i="7"/>
  <c r="T258" i="7"/>
  <c r="U258" i="7"/>
  <c r="X258" i="7"/>
  <c r="AH258" i="7"/>
  <c r="AJ258" i="7" s="1"/>
  <c r="AI258" i="7"/>
  <c r="T259" i="7"/>
  <c r="U259" i="7"/>
  <c r="X259" i="7"/>
  <c r="AH259" i="7"/>
  <c r="AJ259" i="7" s="1"/>
  <c r="AI259" i="7"/>
  <c r="T260" i="7"/>
  <c r="U260" i="7"/>
  <c r="X260" i="7"/>
  <c r="AH260" i="7"/>
  <c r="T261" i="7"/>
  <c r="U261" i="7"/>
  <c r="X261" i="7"/>
  <c r="AH261" i="7"/>
  <c r="AJ261" i="7" s="1"/>
  <c r="AI261" i="7"/>
  <c r="T262" i="7"/>
  <c r="U262" i="7"/>
  <c r="X262" i="7"/>
  <c r="AH262" i="7"/>
  <c r="AJ262" i="7" s="1"/>
  <c r="AI262" i="7"/>
  <c r="T263" i="7"/>
  <c r="U263" i="7"/>
  <c r="X263" i="7"/>
  <c r="AH263" i="7"/>
  <c r="AJ263" i="7" s="1"/>
  <c r="AI263" i="7"/>
  <c r="T264" i="7"/>
  <c r="U264" i="7"/>
  <c r="X264" i="7"/>
  <c r="AH264" i="7"/>
  <c r="T265" i="7"/>
  <c r="U265" i="7"/>
  <c r="X265" i="7"/>
  <c r="AH265" i="7"/>
  <c r="AJ265" i="7" s="1"/>
  <c r="AI265" i="7"/>
  <c r="T266" i="7"/>
  <c r="U266" i="7"/>
  <c r="X266" i="7"/>
  <c r="AH266" i="7"/>
  <c r="AJ266" i="7" s="1"/>
  <c r="AI266" i="7"/>
  <c r="T267" i="7"/>
  <c r="U267" i="7"/>
  <c r="X267" i="7"/>
  <c r="AH267" i="7"/>
  <c r="AJ267" i="7" s="1"/>
  <c r="AI267" i="7"/>
  <c r="T268" i="7"/>
  <c r="U268" i="7"/>
  <c r="X268" i="7"/>
  <c r="AH268" i="7"/>
  <c r="T269" i="7"/>
  <c r="U269" i="7"/>
  <c r="X269" i="7"/>
  <c r="AH269" i="7"/>
  <c r="AJ269" i="7" s="1"/>
  <c r="AI269" i="7"/>
  <c r="T270" i="7"/>
  <c r="U270" i="7"/>
  <c r="X270" i="7"/>
  <c r="AH270" i="7"/>
  <c r="AJ270" i="7" s="1"/>
  <c r="AI270" i="7"/>
  <c r="T271" i="7"/>
  <c r="U271" i="7"/>
  <c r="X271" i="7"/>
  <c r="AH271" i="7"/>
  <c r="AJ271" i="7" s="1"/>
  <c r="AI271" i="7"/>
  <c r="T272" i="7"/>
  <c r="U272" i="7"/>
  <c r="X272" i="7"/>
  <c r="AH272" i="7"/>
  <c r="T273" i="7"/>
  <c r="U273" i="7"/>
  <c r="X273" i="7"/>
  <c r="AH273" i="7"/>
  <c r="AJ273" i="7" s="1"/>
  <c r="AI273" i="7"/>
  <c r="T274" i="7"/>
  <c r="U274" i="7"/>
  <c r="X274" i="7"/>
  <c r="AH274" i="7"/>
  <c r="AJ274" i="7" s="1"/>
  <c r="AI274" i="7"/>
  <c r="T275" i="7"/>
  <c r="U275" i="7"/>
  <c r="X275" i="7"/>
  <c r="AH275" i="7"/>
  <c r="AJ275" i="7" s="1"/>
  <c r="AI275" i="7"/>
  <c r="T276" i="7"/>
  <c r="U276" i="7"/>
  <c r="X276" i="7"/>
  <c r="AH276" i="7"/>
  <c r="T277" i="7"/>
  <c r="U277" i="7"/>
  <c r="X277" i="7"/>
  <c r="AH277" i="7"/>
  <c r="AJ277" i="7" s="1"/>
  <c r="AI277" i="7"/>
  <c r="T278" i="7"/>
  <c r="U278" i="7"/>
  <c r="X278" i="7"/>
  <c r="AH278" i="7"/>
  <c r="AJ278" i="7" s="1"/>
  <c r="AI278" i="7"/>
  <c r="T279" i="7"/>
  <c r="U279" i="7"/>
  <c r="X279" i="7"/>
  <c r="AH279" i="7"/>
  <c r="AJ279" i="7" s="1"/>
  <c r="AI279" i="7"/>
  <c r="T280" i="7"/>
  <c r="U280" i="7"/>
  <c r="X280" i="7"/>
  <c r="AH280" i="7"/>
  <c r="T281" i="7"/>
  <c r="U281" i="7"/>
  <c r="X281" i="7"/>
  <c r="AH281" i="7"/>
  <c r="AJ281" i="7" s="1"/>
  <c r="AI281" i="7"/>
  <c r="T282" i="7"/>
  <c r="U282" i="7"/>
  <c r="X282" i="7"/>
  <c r="AH282" i="7"/>
  <c r="AJ282" i="7" s="1"/>
  <c r="AI282" i="7"/>
  <c r="T283" i="7"/>
  <c r="U283" i="7"/>
  <c r="X283" i="7"/>
  <c r="AH283" i="7"/>
  <c r="AJ283" i="7" s="1"/>
  <c r="AI283" i="7"/>
  <c r="T284" i="7"/>
  <c r="U284" i="7"/>
  <c r="X284" i="7"/>
  <c r="AH284" i="7"/>
  <c r="T285" i="7"/>
  <c r="U285" i="7"/>
  <c r="X285" i="7"/>
  <c r="AH285" i="7"/>
  <c r="AJ285" i="7" s="1"/>
  <c r="AI285" i="7"/>
  <c r="T286" i="7"/>
  <c r="U286" i="7"/>
  <c r="X286" i="7"/>
  <c r="AH286" i="7"/>
  <c r="AJ286" i="7" s="1"/>
  <c r="AI286" i="7"/>
  <c r="T287" i="7"/>
  <c r="U287" i="7"/>
  <c r="X287" i="7"/>
  <c r="AH287" i="7"/>
  <c r="AJ287" i="7" s="1"/>
  <c r="AI287" i="7"/>
  <c r="T288" i="7"/>
  <c r="U288" i="7"/>
  <c r="X288" i="7"/>
  <c r="AH288" i="7"/>
  <c r="T289" i="7"/>
  <c r="U289" i="7"/>
  <c r="X289" i="7"/>
  <c r="AH289" i="7"/>
  <c r="AJ289" i="7" s="1"/>
  <c r="AI289" i="7"/>
  <c r="T290" i="7"/>
  <c r="U290" i="7"/>
  <c r="X290" i="7"/>
  <c r="AH290" i="7"/>
  <c r="AJ290" i="7" s="1"/>
  <c r="AI290" i="7"/>
  <c r="T291" i="7"/>
  <c r="U291" i="7"/>
  <c r="X291" i="7"/>
  <c r="AH291" i="7"/>
  <c r="AJ291" i="7" s="1"/>
  <c r="AI291" i="7"/>
  <c r="T292" i="7"/>
  <c r="U292" i="7"/>
  <c r="X292" i="7"/>
  <c r="AH292" i="7"/>
  <c r="T293" i="7"/>
  <c r="U293" i="7"/>
  <c r="X293" i="7"/>
  <c r="AH293" i="7"/>
  <c r="AJ293" i="7" s="1"/>
  <c r="AI293" i="7"/>
  <c r="T294" i="7"/>
  <c r="U294" i="7"/>
  <c r="X294" i="7"/>
  <c r="AH294" i="7"/>
  <c r="AJ294" i="7" s="1"/>
  <c r="AI294" i="7"/>
  <c r="T295" i="7"/>
  <c r="U295" i="7"/>
  <c r="X295" i="7"/>
  <c r="AH295" i="7"/>
  <c r="AJ295" i="7" s="1"/>
  <c r="AI295" i="7"/>
  <c r="T296" i="7"/>
  <c r="U296" i="7"/>
  <c r="X296" i="7"/>
  <c r="AH296" i="7"/>
  <c r="T297" i="7"/>
  <c r="U297" i="7"/>
  <c r="X297" i="7"/>
  <c r="AH297" i="7"/>
  <c r="AJ297" i="7" s="1"/>
  <c r="AI297" i="7"/>
  <c r="T298" i="7"/>
  <c r="U298" i="7"/>
  <c r="X298" i="7"/>
  <c r="AH298" i="7"/>
  <c r="AJ298" i="7" s="1"/>
  <c r="AI298" i="7"/>
  <c r="T299" i="7"/>
  <c r="U299" i="7"/>
  <c r="X299" i="7"/>
  <c r="AH299" i="7"/>
  <c r="AJ299" i="7" s="1"/>
  <c r="AI299" i="7"/>
  <c r="T300" i="7"/>
  <c r="U300" i="7"/>
  <c r="X300" i="7"/>
  <c r="AH300" i="7"/>
  <c r="T301" i="7"/>
  <c r="U301" i="7"/>
  <c r="X301" i="7"/>
  <c r="AH301" i="7"/>
  <c r="AJ301" i="7" s="1"/>
  <c r="AI301" i="7"/>
  <c r="T302" i="7"/>
  <c r="U302" i="7"/>
  <c r="X302" i="7"/>
  <c r="AH302" i="7"/>
  <c r="AJ302" i="7" s="1"/>
  <c r="AI302" i="7"/>
  <c r="T303" i="7"/>
  <c r="U303" i="7"/>
  <c r="X303" i="7"/>
  <c r="AH303" i="7"/>
  <c r="AJ303" i="7" s="1"/>
  <c r="AI303" i="7"/>
  <c r="T304" i="7"/>
  <c r="U304" i="7"/>
  <c r="X304" i="7"/>
  <c r="AH304" i="7"/>
  <c r="T305" i="7"/>
  <c r="U305" i="7"/>
  <c r="X305" i="7"/>
  <c r="AH305" i="7"/>
  <c r="AJ305" i="7" s="1"/>
  <c r="AI305" i="7"/>
  <c r="T306" i="7"/>
  <c r="U306" i="7"/>
  <c r="X306" i="7"/>
  <c r="AH306" i="7"/>
  <c r="AJ306" i="7" s="1"/>
  <c r="AI306" i="7"/>
  <c r="T307" i="7"/>
  <c r="U307" i="7"/>
  <c r="X307" i="7"/>
  <c r="AH307" i="7"/>
  <c r="AJ307" i="7" s="1"/>
  <c r="AI307" i="7"/>
  <c r="T308" i="7"/>
  <c r="U308" i="7"/>
  <c r="X308" i="7"/>
  <c r="AH308" i="7"/>
  <c r="T309" i="7"/>
  <c r="U309" i="7"/>
  <c r="X309" i="7"/>
  <c r="AH309" i="7"/>
  <c r="AJ309" i="7" s="1"/>
  <c r="AI309" i="7"/>
  <c r="T310" i="7"/>
  <c r="U310" i="7"/>
  <c r="X310" i="7"/>
  <c r="AH310" i="7"/>
  <c r="AJ310" i="7" s="1"/>
  <c r="AI310" i="7"/>
  <c r="T311" i="7"/>
  <c r="U311" i="7"/>
  <c r="X311" i="7"/>
  <c r="AH311" i="7"/>
  <c r="AJ311" i="7" s="1"/>
  <c r="AI311" i="7"/>
  <c r="T312" i="7"/>
  <c r="U312" i="7"/>
  <c r="X312" i="7"/>
  <c r="AH312" i="7"/>
  <c r="T313" i="7"/>
  <c r="U313" i="7"/>
  <c r="X313" i="7"/>
  <c r="AH313" i="7"/>
  <c r="AJ313" i="7" s="1"/>
  <c r="AI313" i="7"/>
  <c r="T314" i="7"/>
  <c r="U314" i="7"/>
  <c r="X314" i="7"/>
  <c r="AH314" i="7"/>
  <c r="AJ314" i="7" s="1"/>
  <c r="AI314" i="7"/>
  <c r="T315" i="7"/>
  <c r="U315" i="7"/>
  <c r="X315" i="7"/>
  <c r="AH315" i="7"/>
  <c r="AJ315" i="7" s="1"/>
  <c r="AI315" i="7"/>
  <c r="T316" i="7"/>
  <c r="U316" i="7"/>
  <c r="X316" i="7"/>
  <c r="AH316" i="7"/>
  <c r="T317" i="7"/>
  <c r="U317" i="7"/>
  <c r="X317" i="7"/>
  <c r="AH317" i="7"/>
  <c r="AJ317" i="7" s="1"/>
  <c r="AI317" i="7"/>
  <c r="T318" i="7"/>
  <c r="U318" i="7"/>
  <c r="X318" i="7"/>
  <c r="AH318" i="7"/>
  <c r="AJ318" i="7" s="1"/>
  <c r="AI318" i="7"/>
  <c r="T319" i="7"/>
  <c r="U319" i="7"/>
  <c r="X319" i="7"/>
  <c r="AH319" i="7"/>
  <c r="AJ319" i="7" s="1"/>
  <c r="AI319" i="7"/>
  <c r="T320" i="7"/>
  <c r="U320" i="7"/>
  <c r="X320" i="7"/>
  <c r="AH320" i="7"/>
  <c r="T321" i="7"/>
  <c r="U321" i="7"/>
  <c r="X321" i="7"/>
  <c r="AH321" i="7"/>
  <c r="AJ321" i="7" s="1"/>
  <c r="AI321" i="7"/>
  <c r="T322" i="7"/>
  <c r="U322" i="7"/>
  <c r="X322" i="7"/>
  <c r="AH322" i="7"/>
  <c r="AJ322" i="7" s="1"/>
  <c r="AI322" i="7"/>
  <c r="T323" i="7"/>
  <c r="U323" i="7"/>
  <c r="X323" i="7"/>
  <c r="AH323" i="7"/>
  <c r="AJ323" i="7" s="1"/>
  <c r="AI323" i="7"/>
  <c r="T324" i="7"/>
  <c r="U324" i="7"/>
  <c r="X324" i="7"/>
  <c r="AH324" i="7"/>
  <c r="T325" i="7"/>
  <c r="U325" i="7"/>
  <c r="X325" i="7"/>
  <c r="AH325" i="7"/>
  <c r="AJ325" i="7" s="1"/>
  <c r="AI325" i="7"/>
  <c r="T326" i="7"/>
  <c r="U326" i="7"/>
  <c r="X326" i="7"/>
  <c r="AH326" i="7"/>
  <c r="AJ326" i="7" s="1"/>
  <c r="AI326" i="7"/>
  <c r="T327" i="7"/>
  <c r="U327" i="7"/>
  <c r="X327" i="7"/>
  <c r="AH327" i="7"/>
  <c r="AJ327" i="7" s="1"/>
  <c r="AI327" i="7"/>
  <c r="T328" i="7"/>
  <c r="U328" i="7"/>
  <c r="X328" i="7"/>
  <c r="AH328" i="7"/>
  <c r="T329" i="7"/>
  <c r="U329" i="7"/>
  <c r="X329" i="7"/>
  <c r="AH329" i="7"/>
  <c r="AJ329" i="7" s="1"/>
  <c r="AI329" i="7"/>
  <c r="T330" i="7"/>
  <c r="U330" i="7"/>
  <c r="X330" i="7"/>
  <c r="AH330" i="7"/>
  <c r="AJ330" i="7" s="1"/>
  <c r="AI330" i="7"/>
  <c r="T331" i="7"/>
  <c r="U331" i="7"/>
  <c r="X331" i="7"/>
  <c r="AH331" i="7"/>
  <c r="AJ331" i="7" s="1"/>
  <c r="AI331" i="7"/>
  <c r="T332" i="7"/>
  <c r="U332" i="7"/>
  <c r="X332" i="7"/>
  <c r="AH332" i="7"/>
  <c r="T333" i="7"/>
  <c r="U333" i="7"/>
  <c r="X333" i="7"/>
  <c r="AH333" i="7"/>
  <c r="AJ333" i="7" s="1"/>
  <c r="AI333" i="7"/>
  <c r="T334" i="7"/>
  <c r="U334" i="7"/>
  <c r="X334" i="7"/>
  <c r="AH334" i="7"/>
  <c r="AJ334" i="7" s="1"/>
  <c r="AI334" i="7"/>
  <c r="T335" i="7"/>
  <c r="U335" i="7"/>
  <c r="X335" i="7"/>
  <c r="AH335" i="7"/>
  <c r="AJ335" i="7" s="1"/>
  <c r="AI335" i="7"/>
  <c r="T336" i="7"/>
  <c r="U336" i="7"/>
  <c r="X336" i="7"/>
  <c r="AH336" i="7"/>
  <c r="T337" i="7"/>
  <c r="U337" i="7"/>
  <c r="X337" i="7"/>
  <c r="AH337" i="7"/>
  <c r="AJ337" i="7" s="1"/>
  <c r="AI337" i="7"/>
  <c r="T338" i="7"/>
  <c r="U338" i="7"/>
  <c r="X338" i="7"/>
  <c r="AH338" i="7"/>
  <c r="AJ338" i="7" s="1"/>
  <c r="AI338" i="7"/>
  <c r="T339" i="7"/>
  <c r="U339" i="7"/>
  <c r="X339" i="7"/>
  <c r="AH339" i="7"/>
  <c r="AJ339" i="7" s="1"/>
  <c r="AI339" i="7"/>
  <c r="T340" i="7"/>
  <c r="U340" i="7"/>
  <c r="X340" i="7"/>
  <c r="AH340" i="7"/>
  <c r="T341" i="7"/>
  <c r="U341" i="7"/>
  <c r="X341" i="7"/>
  <c r="AH341" i="7"/>
  <c r="AJ341" i="7" s="1"/>
  <c r="AI341" i="7"/>
  <c r="T342" i="7"/>
  <c r="U342" i="7"/>
  <c r="X342" i="7"/>
  <c r="AH342" i="7"/>
  <c r="AJ342" i="7" s="1"/>
  <c r="AI342" i="7"/>
  <c r="T343" i="7"/>
  <c r="U343" i="7"/>
  <c r="X343" i="7"/>
  <c r="AH343" i="7"/>
  <c r="AJ343" i="7" s="1"/>
  <c r="AI343" i="7"/>
  <c r="T344" i="7"/>
  <c r="U344" i="7"/>
  <c r="X344" i="7"/>
  <c r="AH344" i="7"/>
  <c r="T345" i="7"/>
  <c r="U345" i="7"/>
  <c r="X345" i="7"/>
  <c r="AH345" i="7"/>
  <c r="AJ345" i="7" s="1"/>
  <c r="AI345" i="7"/>
  <c r="T346" i="7"/>
  <c r="U346" i="7"/>
  <c r="X346" i="7"/>
  <c r="AH346" i="7"/>
  <c r="AJ346" i="7" s="1"/>
  <c r="AI346" i="7"/>
  <c r="T347" i="7"/>
  <c r="U347" i="7"/>
  <c r="X347" i="7"/>
  <c r="AH347" i="7"/>
  <c r="AJ347" i="7" s="1"/>
  <c r="AI347" i="7"/>
  <c r="T348" i="7"/>
  <c r="U348" i="7"/>
  <c r="X348" i="7"/>
  <c r="AH348" i="7"/>
  <c r="T349" i="7"/>
  <c r="U349" i="7"/>
  <c r="X349" i="7"/>
  <c r="AH349" i="7"/>
  <c r="AJ349" i="7" s="1"/>
  <c r="AI349" i="7"/>
  <c r="T350" i="7"/>
  <c r="U350" i="7"/>
  <c r="X350" i="7"/>
  <c r="AH350" i="7"/>
  <c r="AJ350" i="7" s="1"/>
  <c r="AI350" i="7"/>
  <c r="T351" i="7"/>
  <c r="U351" i="7"/>
  <c r="X351" i="7"/>
  <c r="AH351" i="7"/>
  <c r="AJ351" i="7" s="1"/>
  <c r="AI351" i="7"/>
  <c r="T352" i="7"/>
  <c r="U352" i="7"/>
  <c r="X352" i="7"/>
  <c r="AH352" i="7"/>
  <c r="T353" i="7"/>
  <c r="U353" i="7"/>
  <c r="X353" i="7"/>
  <c r="AH353" i="7"/>
  <c r="AJ353" i="7" s="1"/>
  <c r="AI353" i="7"/>
  <c r="T354" i="7"/>
  <c r="U354" i="7"/>
  <c r="X354" i="7"/>
  <c r="AH354" i="7"/>
  <c r="AJ354" i="7" s="1"/>
  <c r="AI354" i="7"/>
  <c r="T355" i="7"/>
  <c r="U355" i="7"/>
  <c r="X355" i="7"/>
  <c r="AH355" i="7"/>
  <c r="AJ355" i="7" s="1"/>
  <c r="AI355" i="7"/>
  <c r="T356" i="7"/>
  <c r="U356" i="7"/>
  <c r="X356" i="7"/>
  <c r="AH356" i="7"/>
  <c r="T357" i="7"/>
  <c r="U357" i="7"/>
  <c r="X357" i="7"/>
  <c r="AH357" i="7"/>
  <c r="AJ357" i="7" s="1"/>
  <c r="AI357" i="7"/>
  <c r="T358" i="7"/>
  <c r="U358" i="7"/>
  <c r="X358" i="7"/>
  <c r="AH358" i="7"/>
  <c r="AJ358" i="7" s="1"/>
  <c r="AI358" i="7"/>
  <c r="T359" i="7"/>
  <c r="U359" i="7"/>
  <c r="X359" i="7"/>
  <c r="AH359" i="7"/>
  <c r="AJ359" i="7" s="1"/>
  <c r="AI359" i="7"/>
  <c r="T360" i="7"/>
  <c r="U360" i="7"/>
  <c r="X360" i="7"/>
  <c r="AH360" i="7"/>
  <c r="T361" i="7"/>
  <c r="U361" i="7"/>
  <c r="X361" i="7"/>
  <c r="AH361" i="7"/>
  <c r="AJ361" i="7" s="1"/>
  <c r="AI361" i="7"/>
  <c r="T362" i="7"/>
  <c r="U362" i="7"/>
  <c r="X362" i="7"/>
  <c r="AH362" i="7"/>
  <c r="AJ362" i="7" s="1"/>
  <c r="AI362" i="7"/>
  <c r="T363" i="7"/>
  <c r="U363" i="7"/>
  <c r="X363" i="7"/>
  <c r="AH363" i="7"/>
  <c r="AJ363" i="7" s="1"/>
  <c r="AI363" i="7"/>
  <c r="T364" i="7"/>
  <c r="U364" i="7"/>
  <c r="X364" i="7"/>
  <c r="AH364" i="7"/>
  <c r="T365" i="7"/>
  <c r="U365" i="7"/>
  <c r="X365" i="7"/>
  <c r="AH365" i="7"/>
  <c r="AJ365" i="7" s="1"/>
  <c r="AI365" i="7"/>
  <c r="T366" i="7"/>
  <c r="U366" i="7"/>
  <c r="X366" i="7"/>
  <c r="AH366" i="7"/>
  <c r="AJ366" i="7" s="1"/>
  <c r="AI366" i="7"/>
  <c r="T367" i="7"/>
  <c r="U367" i="7"/>
  <c r="X367" i="7"/>
  <c r="AH367" i="7"/>
  <c r="AJ367" i="7" s="1"/>
  <c r="AI367" i="7"/>
  <c r="T368" i="7"/>
  <c r="U368" i="7"/>
  <c r="X368" i="7"/>
  <c r="AH368" i="7"/>
  <c r="T369" i="7"/>
  <c r="U369" i="7"/>
  <c r="X369" i="7"/>
  <c r="AH369" i="7"/>
  <c r="AJ369" i="7" s="1"/>
  <c r="AI369" i="7"/>
  <c r="T370" i="7"/>
  <c r="U370" i="7"/>
  <c r="X370" i="7"/>
  <c r="AH370" i="7"/>
  <c r="AJ370" i="7" s="1"/>
  <c r="AI370" i="7"/>
  <c r="T371" i="7"/>
  <c r="U371" i="7"/>
  <c r="X371" i="7"/>
  <c r="AH371" i="7"/>
  <c r="AJ371" i="7" s="1"/>
  <c r="AI371" i="7"/>
  <c r="T372" i="7"/>
  <c r="U372" i="7"/>
  <c r="X372" i="7"/>
  <c r="AH372" i="7"/>
  <c r="T373" i="7"/>
  <c r="U373" i="7"/>
  <c r="X373" i="7"/>
  <c r="AH373" i="7"/>
  <c r="AJ373" i="7" s="1"/>
  <c r="AI373" i="7"/>
  <c r="T374" i="7"/>
  <c r="U374" i="7"/>
  <c r="X374" i="7"/>
  <c r="AH374" i="7"/>
  <c r="AJ374" i="7" s="1"/>
  <c r="AI374" i="7"/>
  <c r="T375" i="7"/>
  <c r="U375" i="7"/>
  <c r="X375" i="7"/>
  <c r="AH375" i="7"/>
  <c r="AJ375" i="7" s="1"/>
  <c r="AI375" i="7"/>
  <c r="T376" i="7"/>
  <c r="U376" i="7"/>
  <c r="X376" i="7"/>
  <c r="AH376" i="7"/>
  <c r="T377" i="7"/>
  <c r="U377" i="7"/>
  <c r="X377" i="7"/>
  <c r="AH377" i="7"/>
  <c r="AJ377" i="7" s="1"/>
  <c r="AI377" i="7"/>
  <c r="T378" i="7"/>
  <c r="U378" i="7"/>
  <c r="X378" i="7"/>
  <c r="AH378" i="7"/>
  <c r="AJ378" i="7" s="1"/>
  <c r="AI378" i="7"/>
  <c r="T379" i="7"/>
  <c r="U379" i="7"/>
  <c r="X379" i="7"/>
  <c r="AH379" i="7"/>
  <c r="AJ379" i="7" s="1"/>
  <c r="AI379" i="7"/>
  <c r="T380" i="7"/>
  <c r="U380" i="7"/>
  <c r="X380" i="7"/>
  <c r="AH380" i="7"/>
  <c r="T381" i="7"/>
  <c r="U381" i="7"/>
  <c r="X381" i="7"/>
  <c r="AH381" i="7"/>
  <c r="AJ381" i="7" s="1"/>
  <c r="AI381" i="7"/>
  <c r="T382" i="7"/>
  <c r="U382" i="7"/>
  <c r="X382" i="7"/>
  <c r="AH382" i="7"/>
  <c r="AJ382" i="7" s="1"/>
  <c r="AI382" i="7"/>
  <c r="T383" i="7"/>
  <c r="U383" i="7"/>
  <c r="X383" i="7"/>
  <c r="AH383" i="7"/>
  <c r="AJ383" i="7" s="1"/>
  <c r="AI383" i="7"/>
  <c r="T384" i="7"/>
  <c r="U384" i="7"/>
  <c r="X384" i="7"/>
  <c r="AH384" i="7"/>
  <c r="T385" i="7"/>
  <c r="U385" i="7"/>
  <c r="X385" i="7"/>
  <c r="AH385" i="7"/>
  <c r="AJ385" i="7" s="1"/>
  <c r="AI385" i="7"/>
  <c r="T386" i="7"/>
  <c r="U386" i="7"/>
  <c r="X386" i="7"/>
  <c r="AH386" i="7"/>
  <c r="AJ386" i="7" s="1"/>
  <c r="AI386" i="7"/>
  <c r="T387" i="7"/>
  <c r="U387" i="7"/>
  <c r="X387" i="7"/>
  <c r="AH387" i="7"/>
  <c r="AJ387" i="7" s="1"/>
  <c r="AI387" i="7"/>
  <c r="T388" i="7"/>
  <c r="U388" i="7"/>
  <c r="X388" i="7"/>
  <c r="AH388" i="7"/>
  <c r="T389" i="7"/>
  <c r="U389" i="7"/>
  <c r="X389" i="7"/>
  <c r="AH389" i="7"/>
  <c r="AJ389" i="7" s="1"/>
  <c r="AI389" i="7"/>
  <c r="T390" i="7"/>
  <c r="U390" i="7"/>
  <c r="X390" i="7"/>
  <c r="AH390" i="7"/>
  <c r="AJ390" i="7" s="1"/>
  <c r="AI390" i="7"/>
  <c r="T391" i="7"/>
  <c r="U391" i="7"/>
  <c r="X391" i="7"/>
  <c r="AH391" i="7"/>
  <c r="AJ391" i="7" s="1"/>
  <c r="AI391" i="7"/>
  <c r="T392" i="7"/>
  <c r="U392" i="7"/>
  <c r="X392" i="7"/>
  <c r="AH392" i="7"/>
  <c r="T393" i="7"/>
  <c r="U393" i="7"/>
  <c r="X393" i="7"/>
  <c r="AH393" i="7"/>
  <c r="AJ393" i="7" s="1"/>
  <c r="AI393" i="7"/>
  <c r="T394" i="7"/>
  <c r="U394" i="7"/>
  <c r="X394" i="7"/>
  <c r="AH394" i="7"/>
  <c r="AJ394" i="7" s="1"/>
  <c r="AI394" i="7"/>
  <c r="T395" i="7"/>
  <c r="U395" i="7"/>
  <c r="X395" i="7"/>
  <c r="AH395" i="7"/>
  <c r="AJ395" i="7" s="1"/>
  <c r="AI395" i="7"/>
  <c r="T396" i="7"/>
  <c r="U396" i="7"/>
  <c r="X396" i="7"/>
  <c r="AH396" i="7"/>
  <c r="T397" i="7"/>
  <c r="U397" i="7"/>
  <c r="X397" i="7"/>
  <c r="AH397" i="7"/>
  <c r="AJ397" i="7" s="1"/>
  <c r="AI397" i="7"/>
  <c r="T398" i="7"/>
  <c r="U398" i="7"/>
  <c r="X398" i="7"/>
  <c r="AH398" i="7"/>
  <c r="AJ398" i="7" s="1"/>
  <c r="AI398" i="7"/>
  <c r="T399" i="7"/>
  <c r="U399" i="7"/>
  <c r="X399" i="7"/>
  <c r="AH399" i="7"/>
  <c r="AJ399" i="7" s="1"/>
  <c r="AI399" i="7"/>
  <c r="T400" i="7"/>
  <c r="U400" i="7"/>
  <c r="X400" i="7"/>
  <c r="AH400" i="7"/>
  <c r="T401" i="7"/>
  <c r="U401" i="7"/>
  <c r="X401" i="7"/>
  <c r="AH401" i="7"/>
  <c r="AJ401" i="7" s="1"/>
  <c r="AI401" i="7"/>
  <c r="T402" i="7"/>
  <c r="U402" i="7"/>
  <c r="X402" i="7"/>
  <c r="AH402" i="7"/>
  <c r="AJ402" i="7" s="1"/>
  <c r="AI402" i="7"/>
  <c r="T403" i="7"/>
  <c r="U403" i="7"/>
  <c r="X403" i="7"/>
  <c r="AH403" i="7"/>
  <c r="AJ403" i="7" s="1"/>
  <c r="AI403" i="7"/>
  <c r="T404" i="7"/>
  <c r="U404" i="7"/>
  <c r="X404" i="7"/>
  <c r="AH404" i="7"/>
  <c r="T405" i="7"/>
  <c r="U405" i="7"/>
  <c r="X405" i="7"/>
  <c r="AH405" i="7"/>
  <c r="AJ405" i="7" s="1"/>
  <c r="AI405" i="7"/>
  <c r="T406" i="7"/>
  <c r="U406" i="7"/>
  <c r="X406" i="7"/>
  <c r="AH406" i="7"/>
  <c r="AJ406" i="7" s="1"/>
  <c r="AI406" i="7"/>
  <c r="T407" i="7"/>
  <c r="U407" i="7"/>
  <c r="X407" i="7"/>
  <c r="AH407" i="7"/>
  <c r="AJ407" i="7" s="1"/>
  <c r="AI407" i="7"/>
  <c r="T408" i="7"/>
  <c r="U408" i="7"/>
  <c r="X408" i="7"/>
  <c r="AH408" i="7"/>
  <c r="T409" i="7"/>
  <c r="U409" i="7"/>
  <c r="X409" i="7"/>
  <c r="AH409" i="7"/>
  <c r="AJ409" i="7" s="1"/>
  <c r="AI409" i="7"/>
  <c r="T410" i="7"/>
  <c r="U410" i="7"/>
  <c r="X410" i="7"/>
  <c r="AH410" i="7"/>
  <c r="AJ410" i="7" s="1"/>
  <c r="AI410" i="7"/>
  <c r="T411" i="7"/>
  <c r="U411" i="7"/>
  <c r="X411" i="7"/>
  <c r="AH411" i="7"/>
  <c r="AJ411" i="7" s="1"/>
  <c r="AI411" i="7"/>
  <c r="T412" i="7"/>
  <c r="U412" i="7"/>
  <c r="X412" i="7"/>
  <c r="AH412" i="7"/>
  <c r="T413" i="7"/>
  <c r="U413" i="7"/>
  <c r="X413" i="7"/>
  <c r="AH413" i="7"/>
  <c r="AJ413" i="7" s="1"/>
  <c r="AI413" i="7"/>
  <c r="T414" i="7"/>
  <c r="U414" i="7"/>
  <c r="X414" i="7"/>
  <c r="AH414" i="7"/>
  <c r="AJ414" i="7" s="1"/>
  <c r="AI414" i="7"/>
  <c r="T415" i="7"/>
  <c r="U415" i="7"/>
  <c r="X415" i="7"/>
  <c r="AH415" i="7"/>
  <c r="AJ415" i="7" s="1"/>
  <c r="AI415" i="7"/>
  <c r="T416" i="7"/>
  <c r="U416" i="7"/>
  <c r="X416" i="7"/>
  <c r="AH416" i="7"/>
  <c r="T417" i="7"/>
  <c r="U417" i="7"/>
  <c r="X417" i="7"/>
  <c r="AH417" i="7"/>
  <c r="AJ417" i="7" s="1"/>
  <c r="AI417" i="7"/>
  <c r="T418" i="7"/>
  <c r="U418" i="7"/>
  <c r="X418" i="7"/>
  <c r="AH418" i="7"/>
  <c r="AJ418" i="7" s="1"/>
  <c r="AI418" i="7"/>
  <c r="T419" i="7"/>
  <c r="U419" i="7"/>
  <c r="X419" i="7"/>
  <c r="AH419" i="7"/>
  <c r="AJ419" i="7" s="1"/>
  <c r="AI419" i="7"/>
  <c r="T420" i="7"/>
  <c r="U420" i="7"/>
  <c r="X420" i="7"/>
  <c r="AH420" i="7"/>
  <c r="T421" i="7"/>
  <c r="U421" i="7"/>
  <c r="X421" i="7"/>
  <c r="AH421" i="7"/>
  <c r="AJ421" i="7" s="1"/>
  <c r="AI421" i="7"/>
  <c r="T422" i="7"/>
  <c r="U422" i="7"/>
  <c r="X422" i="7"/>
  <c r="AH422" i="7"/>
  <c r="AJ422" i="7" s="1"/>
  <c r="AI422" i="7"/>
  <c r="T423" i="7"/>
  <c r="U423" i="7"/>
  <c r="X423" i="7"/>
  <c r="AH423" i="7"/>
  <c r="AJ423" i="7" s="1"/>
  <c r="AI423" i="7"/>
  <c r="T424" i="7"/>
  <c r="U424" i="7"/>
  <c r="X424" i="7"/>
  <c r="AH424" i="7"/>
  <c r="T425" i="7"/>
  <c r="U425" i="7"/>
  <c r="X425" i="7"/>
  <c r="AH425" i="7"/>
  <c r="AJ425" i="7" s="1"/>
  <c r="AI425" i="7"/>
  <c r="T426" i="7"/>
  <c r="U426" i="7"/>
  <c r="X426" i="7"/>
  <c r="AH426" i="7"/>
  <c r="AJ426" i="7" s="1"/>
  <c r="AI426" i="7"/>
  <c r="T427" i="7"/>
  <c r="U427" i="7"/>
  <c r="X427" i="7"/>
  <c r="AH427" i="7"/>
  <c r="AJ427" i="7" s="1"/>
  <c r="AI427" i="7"/>
  <c r="T428" i="7"/>
  <c r="U428" i="7"/>
  <c r="X428" i="7"/>
  <c r="AH428" i="7"/>
  <c r="T429" i="7"/>
  <c r="U429" i="7"/>
  <c r="X429" i="7"/>
  <c r="AH429" i="7"/>
  <c r="AJ429" i="7" s="1"/>
  <c r="AI429" i="7"/>
  <c r="T430" i="7"/>
  <c r="U430" i="7"/>
  <c r="X430" i="7"/>
  <c r="AH430" i="7"/>
  <c r="AJ430" i="7" s="1"/>
  <c r="AI430" i="7"/>
  <c r="T431" i="7"/>
  <c r="U431" i="7"/>
  <c r="X431" i="7"/>
  <c r="AH431" i="7"/>
  <c r="AJ431" i="7" s="1"/>
  <c r="AI431" i="7"/>
  <c r="T432" i="7"/>
  <c r="U432" i="7"/>
  <c r="X432" i="7"/>
  <c r="AH432" i="7"/>
  <c r="T433" i="7"/>
  <c r="U433" i="7"/>
  <c r="X433" i="7"/>
  <c r="AH433" i="7"/>
  <c r="AJ433" i="7" s="1"/>
  <c r="AI433" i="7"/>
  <c r="T434" i="7"/>
  <c r="U434" i="7"/>
  <c r="X434" i="7"/>
  <c r="AH434" i="7"/>
  <c r="AJ434" i="7" s="1"/>
  <c r="AI434" i="7"/>
  <c r="T435" i="7"/>
  <c r="U435" i="7"/>
  <c r="X435" i="7"/>
  <c r="AH435" i="7"/>
  <c r="AJ435" i="7" s="1"/>
  <c r="AI435" i="7"/>
  <c r="T436" i="7"/>
  <c r="U436" i="7"/>
  <c r="X436" i="7"/>
  <c r="AH436" i="7"/>
  <c r="T437" i="7"/>
  <c r="U437" i="7"/>
  <c r="X437" i="7"/>
  <c r="AH437" i="7"/>
  <c r="AJ437" i="7" s="1"/>
  <c r="AI437" i="7"/>
  <c r="T438" i="7"/>
  <c r="U438" i="7"/>
  <c r="X438" i="7"/>
  <c r="AH438" i="7"/>
  <c r="AJ438" i="7" s="1"/>
  <c r="AI438" i="7"/>
  <c r="T439" i="7"/>
  <c r="U439" i="7"/>
  <c r="X439" i="7"/>
  <c r="AH439" i="7"/>
  <c r="AJ439" i="7" s="1"/>
  <c r="AI439" i="7"/>
  <c r="T440" i="7"/>
  <c r="U440" i="7"/>
  <c r="X440" i="7"/>
  <c r="AH440" i="7"/>
  <c r="T441" i="7"/>
  <c r="U441" i="7"/>
  <c r="X441" i="7"/>
  <c r="AH441" i="7"/>
  <c r="AJ441" i="7" s="1"/>
  <c r="AI441" i="7"/>
  <c r="T442" i="7"/>
  <c r="U442" i="7"/>
  <c r="X442" i="7"/>
  <c r="AH442" i="7"/>
  <c r="AJ442" i="7" s="1"/>
  <c r="AI442" i="7"/>
  <c r="T443" i="7"/>
  <c r="U443" i="7"/>
  <c r="X443" i="7"/>
  <c r="AH443" i="7"/>
  <c r="AJ443" i="7" s="1"/>
  <c r="AI443" i="7"/>
  <c r="T444" i="7"/>
  <c r="U444" i="7"/>
  <c r="X444" i="7"/>
  <c r="AH444" i="7"/>
  <c r="T445" i="7"/>
  <c r="U445" i="7"/>
  <c r="X445" i="7"/>
  <c r="AH445" i="7"/>
  <c r="AJ445" i="7" s="1"/>
  <c r="AI445" i="7"/>
  <c r="T446" i="7"/>
  <c r="U446" i="7"/>
  <c r="X446" i="7"/>
  <c r="AH446" i="7"/>
  <c r="AJ446" i="7" s="1"/>
  <c r="AI446" i="7"/>
  <c r="T447" i="7"/>
  <c r="U447" i="7"/>
  <c r="X447" i="7"/>
  <c r="AH447" i="7"/>
  <c r="AJ447" i="7" s="1"/>
  <c r="AI447" i="7"/>
  <c r="T448" i="7"/>
  <c r="U448" i="7"/>
  <c r="X448" i="7"/>
  <c r="AH448" i="7"/>
  <c r="T449" i="7"/>
  <c r="U449" i="7"/>
  <c r="X449" i="7"/>
  <c r="AH449" i="7"/>
  <c r="AJ449" i="7" s="1"/>
  <c r="AI449" i="7"/>
  <c r="T450" i="7"/>
  <c r="U450" i="7"/>
  <c r="X450" i="7"/>
  <c r="AH450" i="7"/>
  <c r="AJ450" i="7" s="1"/>
  <c r="AI450" i="7"/>
  <c r="T451" i="7"/>
  <c r="U451" i="7"/>
  <c r="X451" i="7"/>
  <c r="AH451" i="7"/>
  <c r="AJ451" i="7" s="1"/>
  <c r="AI451" i="7"/>
  <c r="T452" i="7"/>
  <c r="U452" i="7"/>
  <c r="X452" i="7"/>
  <c r="AH452" i="7"/>
  <c r="T453" i="7"/>
  <c r="U453" i="7"/>
  <c r="X453" i="7"/>
  <c r="AH453" i="7"/>
  <c r="AJ453" i="7" s="1"/>
  <c r="AI453" i="7"/>
  <c r="T454" i="7"/>
  <c r="U454" i="7"/>
  <c r="X454" i="7"/>
  <c r="AH454" i="7"/>
  <c r="AJ454" i="7" s="1"/>
  <c r="AI454" i="7"/>
  <c r="T455" i="7"/>
  <c r="U455" i="7"/>
  <c r="X455" i="7"/>
  <c r="AH455" i="7"/>
  <c r="AJ455" i="7" s="1"/>
  <c r="AI455" i="7"/>
  <c r="T456" i="7"/>
  <c r="U456" i="7"/>
  <c r="X456" i="7"/>
  <c r="AH456" i="7"/>
  <c r="T457" i="7"/>
  <c r="U457" i="7"/>
  <c r="X457" i="7"/>
  <c r="AH457" i="7"/>
  <c r="AJ457" i="7" s="1"/>
  <c r="AI457" i="7"/>
  <c r="T458" i="7"/>
  <c r="U458" i="7"/>
  <c r="X458" i="7"/>
  <c r="AH458" i="7"/>
  <c r="AJ458" i="7" s="1"/>
  <c r="AI458" i="7"/>
  <c r="T459" i="7"/>
  <c r="U459" i="7"/>
  <c r="X459" i="7"/>
  <c r="AH459" i="7"/>
  <c r="AJ459" i="7" s="1"/>
  <c r="AI459" i="7"/>
  <c r="T460" i="7"/>
  <c r="U460" i="7"/>
  <c r="X460" i="7"/>
  <c r="AH460" i="7"/>
  <c r="T461" i="7"/>
  <c r="U461" i="7"/>
  <c r="X461" i="7"/>
  <c r="AH461" i="7"/>
  <c r="AJ461" i="7" s="1"/>
  <c r="AI461" i="7"/>
  <c r="T462" i="7"/>
  <c r="U462" i="7"/>
  <c r="X462" i="7"/>
  <c r="AH462" i="7"/>
  <c r="AJ462" i="7" s="1"/>
  <c r="AI462" i="7"/>
  <c r="T463" i="7"/>
  <c r="U463" i="7"/>
  <c r="X463" i="7"/>
  <c r="AH463" i="7"/>
  <c r="AJ463" i="7" s="1"/>
  <c r="AI463" i="7"/>
  <c r="T464" i="7"/>
  <c r="U464" i="7"/>
  <c r="X464" i="7"/>
  <c r="AH464" i="7"/>
  <c r="T465" i="7"/>
  <c r="U465" i="7"/>
  <c r="X465" i="7"/>
  <c r="AH465" i="7"/>
  <c r="AJ465" i="7" s="1"/>
  <c r="AI465" i="7"/>
  <c r="T466" i="7"/>
  <c r="U466" i="7"/>
  <c r="X466" i="7"/>
  <c r="AH466" i="7"/>
  <c r="AJ466" i="7" s="1"/>
  <c r="AI466" i="7"/>
  <c r="T467" i="7"/>
  <c r="U467" i="7"/>
  <c r="X467" i="7"/>
  <c r="AH467" i="7"/>
  <c r="AJ467" i="7" s="1"/>
  <c r="AI467" i="7"/>
  <c r="T468" i="7"/>
  <c r="U468" i="7"/>
  <c r="X468" i="7"/>
  <c r="AH468" i="7"/>
  <c r="T469" i="7"/>
  <c r="U469" i="7"/>
  <c r="X469" i="7"/>
  <c r="AH469" i="7"/>
  <c r="AJ469" i="7" s="1"/>
  <c r="AI469" i="7"/>
  <c r="T470" i="7"/>
  <c r="U470" i="7"/>
  <c r="X470" i="7"/>
  <c r="AH470" i="7"/>
  <c r="AJ470" i="7" s="1"/>
  <c r="AI470" i="7"/>
  <c r="T471" i="7"/>
  <c r="U471" i="7"/>
  <c r="X471" i="7"/>
  <c r="AH471" i="7"/>
  <c r="AJ471" i="7" s="1"/>
  <c r="AI471" i="7"/>
  <c r="T472" i="7"/>
  <c r="U472" i="7"/>
  <c r="X472" i="7"/>
  <c r="AH472" i="7"/>
  <c r="T473" i="7"/>
  <c r="U473" i="7"/>
  <c r="X473" i="7"/>
  <c r="AH473" i="7"/>
  <c r="AJ473" i="7" s="1"/>
  <c r="AI473" i="7"/>
  <c r="T474" i="7"/>
  <c r="U474" i="7"/>
  <c r="X474" i="7"/>
  <c r="AH474" i="7"/>
  <c r="AJ474" i="7" s="1"/>
  <c r="AI474" i="7"/>
  <c r="T475" i="7"/>
  <c r="U475" i="7"/>
  <c r="X475" i="7"/>
  <c r="AH475" i="7"/>
  <c r="AJ475" i="7" s="1"/>
  <c r="AI475" i="7"/>
  <c r="T476" i="7"/>
  <c r="U476" i="7"/>
  <c r="X476" i="7"/>
  <c r="AH476" i="7"/>
  <c r="T477" i="7"/>
  <c r="U477" i="7"/>
  <c r="X477" i="7"/>
  <c r="AH477" i="7"/>
  <c r="AJ477" i="7" s="1"/>
  <c r="AI477" i="7"/>
  <c r="T478" i="7"/>
  <c r="U478" i="7"/>
  <c r="X478" i="7"/>
  <c r="AH478" i="7"/>
  <c r="AJ478" i="7" s="1"/>
  <c r="AI478" i="7"/>
  <c r="T479" i="7"/>
  <c r="U479" i="7"/>
  <c r="X479" i="7"/>
  <c r="AH479" i="7"/>
  <c r="AJ479" i="7" s="1"/>
  <c r="AI479" i="7"/>
  <c r="T480" i="7"/>
  <c r="U480" i="7"/>
  <c r="X480" i="7"/>
  <c r="AH480" i="7"/>
  <c r="T481" i="7"/>
  <c r="U481" i="7"/>
  <c r="X481" i="7"/>
  <c r="AH481" i="7"/>
  <c r="AJ481" i="7" s="1"/>
  <c r="AI481" i="7"/>
  <c r="T482" i="7"/>
  <c r="U482" i="7"/>
  <c r="X482" i="7"/>
  <c r="AH482" i="7"/>
  <c r="AJ482" i="7" s="1"/>
  <c r="AI482" i="7"/>
  <c r="T483" i="7"/>
  <c r="U483" i="7"/>
  <c r="X483" i="7"/>
  <c r="AH483" i="7"/>
  <c r="AJ483" i="7" s="1"/>
  <c r="AI483" i="7"/>
  <c r="T484" i="7"/>
  <c r="U484" i="7"/>
  <c r="X484" i="7"/>
  <c r="AH484" i="7"/>
  <c r="T485" i="7"/>
  <c r="U485" i="7"/>
  <c r="X485" i="7"/>
  <c r="AH485" i="7"/>
  <c r="AJ485" i="7" s="1"/>
  <c r="AI485" i="7"/>
  <c r="T486" i="7"/>
  <c r="U486" i="7"/>
  <c r="X486" i="7"/>
  <c r="AH486" i="7"/>
  <c r="AJ486" i="7" s="1"/>
  <c r="AI486" i="7"/>
  <c r="T487" i="7"/>
  <c r="U487" i="7"/>
  <c r="X487" i="7"/>
  <c r="AH487" i="7"/>
  <c r="AJ487" i="7" s="1"/>
  <c r="AI487" i="7"/>
  <c r="T488" i="7"/>
  <c r="U488" i="7"/>
  <c r="X488" i="7"/>
  <c r="AH488" i="7"/>
  <c r="T489" i="7"/>
  <c r="U489" i="7"/>
  <c r="X489" i="7"/>
  <c r="AH489" i="7"/>
  <c r="AJ489" i="7" s="1"/>
  <c r="AI489" i="7"/>
  <c r="T490" i="7"/>
  <c r="U490" i="7"/>
  <c r="X490" i="7"/>
  <c r="AH490" i="7"/>
  <c r="AJ490" i="7" s="1"/>
  <c r="AI490" i="7"/>
  <c r="T491" i="7"/>
  <c r="U491" i="7"/>
  <c r="X491" i="7"/>
  <c r="AH491" i="7"/>
  <c r="AJ491" i="7" s="1"/>
  <c r="AI491" i="7"/>
  <c r="T492" i="7"/>
  <c r="U492" i="7"/>
  <c r="X492" i="7"/>
  <c r="AH492" i="7"/>
  <c r="T493" i="7"/>
  <c r="U493" i="7"/>
  <c r="X493" i="7"/>
  <c r="AH493" i="7"/>
  <c r="AJ493" i="7" s="1"/>
  <c r="AI493" i="7"/>
  <c r="T494" i="7"/>
  <c r="U494" i="7"/>
  <c r="X494" i="7"/>
  <c r="AH494" i="7"/>
  <c r="AJ494" i="7" s="1"/>
  <c r="AI494" i="7"/>
  <c r="T495" i="7"/>
  <c r="U495" i="7"/>
  <c r="X495" i="7"/>
  <c r="AH495" i="7"/>
  <c r="AJ495" i="7" s="1"/>
  <c r="AI495" i="7"/>
  <c r="T496" i="7"/>
  <c r="U496" i="7"/>
  <c r="X496" i="7"/>
  <c r="AH496" i="7"/>
  <c r="T497" i="7"/>
  <c r="U497" i="7"/>
  <c r="X497" i="7"/>
  <c r="AH497" i="7"/>
  <c r="AJ497" i="7" s="1"/>
  <c r="AI497" i="7"/>
  <c r="T498" i="7"/>
  <c r="U498" i="7"/>
  <c r="X498" i="7"/>
  <c r="AH498" i="7"/>
  <c r="AJ498" i="7" s="1"/>
  <c r="AI498" i="7"/>
  <c r="T499" i="7"/>
  <c r="U499" i="7"/>
  <c r="X499" i="7"/>
  <c r="AH499" i="7"/>
  <c r="AJ499" i="7" s="1"/>
  <c r="AI499" i="7"/>
  <c r="T500" i="7"/>
  <c r="U500" i="7"/>
  <c r="X500" i="7"/>
  <c r="AH500" i="7"/>
  <c r="T501" i="7"/>
  <c r="U501" i="7"/>
  <c r="X501" i="7"/>
  <c r="AH501" i="7"/>
  <c r="AJ501" i="7" s="1"/>
  <c r="AI501" i="7"/>
  <c r="T502" i="7"/>
  <c r="U502" i="7"/>
  <c r="X502" i="7"/>
  <c r="AH502" i="7"/>
  <c r="AJ502" i="7" s="1"/>
  <c r="AI502" i="7"/>
  <c r="T503" i="7"/>
  <c r="U503" i="7"/>
  <c r="X503" i="7"/>
  <c r="AH503" i="7"/>
  <c r="AJ503" i="7" s="1"/>
  <c r="AI503" i="7"/>
  <c r="T504" i="7"/>
  <c r="U504" i="7"/>
  <c r="X504" i="7"/>
  <c r="AH504" i="7"/>
  <c r="T505" i="7"/>
  <c r="U505" i="7"/>
  <c r="X505" i="7"/>
  <c r="AH505" i="7"/>
  <c r="AJ505" i="7" s="1"/>
  <c r="AI505" i="7"/>
  <c r="T506" i="7"/>
  <c r="U506" i="7"/>
  <c r="X506" i="7"/>
  <c r="AH506" i="7"/>
  <c r="AJ506" i="7" s="1"/>
  <c r="AI506" i="7"/>
  <c r="T507" i="7"/>
  <c r="U507" i="7"/>
  <c r="X507" i="7"/>
  <c r="AH507" i="7"/>
  <c r="AJ507" i="7" s="1"/>
  <c r="AI507" i="7"/>
  <c r="T508" i="7"/>
  <c r="U508" i="7"/>
  <c r="X508" i="7"/>
  <c r="AH508" i="7"/>
  <c r="T509" i="7"/>
  <c r="U509" i="7"/>
  <c r="X509" i="7"/>
  <c r="AH509" i="7"/>
  <c r="AJ509" i="7" s="1"/>
  <c r="AI509" i="7"/>
  <c r="T510" i="7"/>
  <c r="U510" i="7"/>
  <c r="X510" i="7"/>
  <c r="AH510" i="7"/>
  <c r="AJ510" i="7" s="1"/>
  <c r="AI510" i="7"/>
  <c r="T511" i="7"/>
  <c r="U511" i="7"/>
  <c r="X511" i="7"/>
  <c r="AH511" i="7"/>
  <c r="AJ511" i="7" s="1"/>
  <c r="AI511" i="7"/>
  <c r="T512" i="7"/>
  <c r="U512" i="7"/>
  <c r="X512" i="7"/>
  <c r="AH512" i="7"/>
  <c r="T513" i="7"/>
  <c r="U513" i="7"/>
  <c r="X513" i="7"/>
  <c r="AH513" i="7"/>
  <c r="AJ513" i="7" s="1"/>
  <c r="AI513" i="7"/>
  <c r="T514" i="7"/>
  <c r="U514" i="7"/>
  <c r="X514" i="7"/>
  <c r="AH514" i="7"/>
  <c r="AJ514" i="7" s="1"/>
  <c r="AI514" i="7"/>
  <c r="T515" i="7"/>
  <c r="U515" i="7"/>
  <c r="X515" i="7"/>
  <c r="AH515" i="7"/>
  <c r="AJ515" i="7" s="1"/>
  <c r="AI515" i="7"/>
  <c r="T516" i="7"/>
  <c r="U516" i="7"/>
  <c r="X516" i="7"/>
  <c r="AH516" i="7"/>
  <c r="T517" i="7"/>
  <c r="U517" i="7"/>
  <c r="X517" i="7"/>
  <c r="AH517" i="7"/>
  <c r="T518" i="7"/>
  <c r="U518" i="7"/>
  <c r="X518" i="7"/>
  <c r="AH518" i="7"/>
  <c r="AJ518" i="7" s="1"/>
  <c r="AI518" i="7"/>
  <c r="T519" i="7"/>
  <c r="U519" i="7"/>
  <c r="X519" i="7"/>
  <c r="AH519" i="7"/>
  <c r="AJ519" i="7" s="1"/>
  <c r="AI519" i="7"/>
  <c r="T520" i="7"/>
  <c r="U520" i="7"/>
  <c r="X520" i="7"/>
  <c r="AH520" i="7"/>
  <c r="T521" i="7"/>
  <c r="U521" i="7"/>
  <c r="X521" i="7"/>
  <c r="AH521" i="7"/>
  <c r="AJ521" i="7" s="1"/>
  <c r="AI521" i="7"/>
  <c r="T522" i="7"/>
  <c r="U522" i="7"/>
  <c r="X522" i="7"/>
  <c r="AH522" i="7"/>
  <c r="AJ522" i="7" s="1"/>
  <c r="AI522" i="7"/>
  <c r="T523" i="7"/>
  <c r="U523" i="7"/>
  <c r="X523" i="7"/>
  <c r="AH523" i="7"/>
  <c r="AJ523" i="7" s="1"/>
  <c r="AI523" i="7"/>
  <c r="T524" i="7"/>
  <c r="U524" i="7"/>
  <c r="X524" i="7"/>
  <c r="AH524" i="7"/>
  <c r="T525" i="7"/>
  <c r="U525" i="7"/>
  <c r="X525" i="7"/>
  <c r="AH525" i="7"/>
  <c r="AJ525" i="7" s="1"/>
  <c r="T526" i="7"/>
  <c r="U526" i="7"/>
  <c r="X526" i="7"/>
  <c r="AH526" i="7"/>
  <c r="AJ526" i="7" s="1"/>
  <c r="AI526" i="7"/>
  <c r="T527" i="7"/>
  <c r="U527" i="7"/>
  <c r="X527" i="7"/>
  <c r="AH527" i="7"/>
  <c r="AJ527" i="7" s="1"/>
  <c r="AI527" i="7"/>
  <c r="T528" i="7"/>
  <c r="U528" i="7"/>
  <c r="X528" i="7"/>
  <c r="AH528" i="7"/>
  <c r="T529" i="7"/>
  <c r="U529" i="7"/>
  <c r="X529" i="7"/>
  <c r="AH529" i="7"/>
  <c r="AJ529" i="7" s="1"/>
  <c r="T530" i="7"/>
  <c r="U530" i="7"/>
  <c r="X530" i="7"/>
  <c r="AH530" i="7"/>
  <c r="AJ530" i="7" s="1"/>
  <c r="AI530" i="7"/>
  <c r="T531" i="7"/>
  <c r="U531" i="7"/>
  <c r="X531" i="7"/>
  <c r="AH531" i="7"/>
  <c r="AJ531" i="7" s="1"/>
  <c r="AI531" i="7"/>
  <c r="T532" i="7"/>
  <c r="U532" i="7"/>
  <c r="X532" i="7"/>
  <c r="AH532" i="7"/>
  <c r="T533" i="7"/>
  <c r="U533" i="7"/>
  <c r="X533" i="7"/>
  <c r="AH533" i="7"/>
  <c r="T534" i="7"/>
  <c r="U534" i="7"/>
  <c r="X534" i="7"/>
  <c r="AH534" i="7"/>
  <c r="AJ534" i="7" s="1"/>
  <c r="AI534" i="7"/>
  <c r="T535" i="7"/>
  <c r="U535" i="7"/>
  <c r="X535" i="7"/>
  <c r="AH535" i="7"/>
  <c r="AJ535" i="7" s="1"/>
  <c r="AI535" i="7"/>
  <c r="T536" i="7"/>
  <c r="U536" i="7"/>
  <c r="X536" i="7"/>
  <c r="AH536" i="7"/>
  <c r="T537" i="7"/>
  <c r="U537" i="7"/>
  <c r="X537" i="7"/>
  <c r="AH537" i="7"/>
  <c r="AJ537" i="7" s="1"/>
  <c r="AI537" i="7"/>
  <c r="T538" i="7"/>
  <c r="U538" i="7"/>
  <c r="X538" i="7"/>
  <c r="AH538" i="7"/>
  <c r="AJ538" i="7" s="1"/>
  <c r="AI538" i="7"/>
  <c r="T539" i="7"/>
  <c r="U539" i="7"/>
  <c r="X539" i="7"/>
  <c r="AH539" i="7"/>
  <c r="AJ539" i="7" s="1"/>
  <c r="AI539" i="7"/>
  <c r="T540" i="7"/>
  <c r="U540" i="7"/>
  <c r="X540" i="7"/>
  <c r="AH540" i="7"/>
  <c r="T541" i="7"/>
  <c r="U541" i="7"/>
  <c r="X541" i="7"/>
  <c r="AH541" i="7"/>
  <c r="AJ541" i="7" s="1"/>
  <c r="T542" i="7"/>
  <c r="U542" i="7"/>
  <c r="X542" i="7"/>
  <c r="AH542" i="7"/>
  <c r="AJ542" i="7" s="1"/>
  <c r="AI542" i="7"/>
  <c r="T543" i="7"/>
  <c r="U543" i="7"/>
  <c r="X543" i="7"/>
  <c r="AH543" i="7"/>
  <c r="AJ543" i="7" s="1"/>
  <c r="AI543" i="7"/>
  <c r="T544" i="7"/>
  <c r="U544" i="7"/>
  <c r="X544" i="7"/>
  <c r="AH544" i="7"/>
  <c r="T545" i="7"/>
  <c r="U545" i="7"/>
  <c r="X545" i="7"/>
  <c r="AH545" i="7"/>
  <c r="AJ545" i="7" s="1"/>
  <c r="AI545" i="7"/>
  <c r="T546" i="7"/>
  <c r="U546" i="7"/>
  <c r="X546" i="7"/>
  <c r="AH546" i="7"/>
  <c r="AJ546" i="7" s="1"/>
  <c r="AI546" i="7"/>
  <c r="T547" i="7"/>
  <c r="U547" i="7"/>
  <c r="X547" i="7"/>
  <c r="AH547" i="7"/>
  <c r="AJ547" i="7" s="1"/>
  <c r="AI547" i="7"/>
  <c r="T548" i="7"/>
  <c r="U548" i="7"/>
  <c r="X548" i="7"/>
  <c r="AH548" i="7"/>
  <c r="T549" i="7"/>
  <c r="U549" i="7"/>
  <c r="X549" i="7"/>
  <c r="AH549" i="7"/>
  <c r="T550" i="7"/>
  <c r="U550" i="7"/>
  <c r="X550" i="7"/>
  <c r="AH550" i="7"/>
  <c r="AJ550" i="7" s="1"/>
  <c r="AI550" i="7"/>
  <c r="T551" i="7"/>
  <c r="U551" i="7"/>
  <c r="X551" i="7"/>
  <c r="AH551" i="7"/>
  <c r="AJ551" i="7" s="1"/>
  <c r="AI551" i="7"/>
  <c r="T552" i="7"/>
  <c r="U552" i="7"/>
  <c r="X552" i="7"/>
  <c r="AH552" i="7"/>
  <c r="T553" i="7"/>
  <c r="U553" i="7"/>
  <c r="X553" i="7"/>
  <c r="AH553" i="7"/>
  <c r="T554" i="7"/>
  <c r="U554" i="7"/>
  <c r="X554" i="7"/>
  <c r="AH554" i="7"/>
  <c r="AJ554" i="7" s="1"/>
  <c r="T555" i="7"/>
  <c r="U555" i="7"/>
  <c r="X555" i="7"/>
  <c r="AH555" i="7"/>
  <c r="AJ555" i="7" s="1"/>
  <c r="AI555" i="7"/>
  <c r="T556" i="7"/>
  <c r="U556" i="7"/>
  <c r="X556" i="7"/>
  <c r="AH556" i="7"/>
  <c r="T557" i="7"/>
  <c r="U557" i="7"/>
  <c r="X557" i="7"/>
  <c r="AH557" i="7"/>
  <c r="AJ557" i="7" s="1"/>
  <c r="AI557" i="7"/>
  <c r="T558" i="7"/>
  <c r="U558" i="7"/>
  <c r="X558" i="7"/>
  <c r="AH558" i="7"/>
  <c r="AJ558" i="7" s="1"/>
  <c r="AI558" i="7"/>
  <c r="T559" i="7"/>
  <c r="U559" i="7"/>
  <c r="X559" i="7"/>
  <c r="AH559" i="7"/>
  <c r="AJ559" i="7" s="1"/>
  <c r="AI559" i="7"/>
  <c r="T560" i="7"/>
  <c r="U560" i="7"/>
  <c r="X560" i="7"/>
  <c r="AH560" i="7"/>
  <c r="T561" i="7"/>
  <c r="U561" i="7"/>
  <c r="X561" i="7"/>
  <c r="AH561" i="7"/>
  <c r="AJ561" i="7" s="1"/>
  <c r="T562" i="7"/>
  <c r="U562" i="7"/>
  <c r="X562" i="7"/>
  <c r="AH562" i="7"/>
  <c r="T563" i="7"/>
  <c r="U563" i="7"/>
  <c r="X563" i="7"/>
  <c r="AH563" i="7"/>
  <c r="AJ563" i="7" s="1"/>
  <c r="AI563" i="7"/>
  <c r="T564" i="7"/>
  <c r="U564" i="7"/>
  <c r="X564" i="7"/>
  <c r="AH564" i="7"/>
  <c r="T565" i="7"/>
  <c r="U565" i="7"/>
  <c r="X565" i="7"/>
  <c r="AH565" i="7"/>
  <c r="AJ565" i="7" s="1"/>
  <c r="AI565" i="7"/>
  <c r="T566" i="7"/>
  <c r="U566" i="7"/>
  <c r="X566" i="7"/>
  <c r="AH566" i="7"/>
  <c r="AJ566" i="7" s="1"/>
  <c r="AI566" i="7"/>
  <c r="T567" i="7"/>
  <c r="U567" i="7"/>
  <c r="X567" i="7"/>
  <c r="AH567" i="7"/>
  <c r="AJ567" i="7" s="1"/>
  <c r="AI567" i="7"/>
  <c r="T568" i="7"/>
  <c r="U568" i="7"/>
  <c r="X568" i="7"/>
  <c r="AH568" i="7"/>
  <c r="T569" i="7"/>
  <c r="U569" i="7"/>
  <c r="X569" i="7"/>
  <c r="AH569" i="7"/>
  <c r="T570" i="7"/>
  <c r="U570" i="7"/>
  <c r="X570" i="7"/>
  <c r="AH570" i="7"/>
  <c r="AJ570" i="7" s="1"/>
  <c r="T571" i="7"/>
  <c r="U571" i="7"/>
  <c r="X571" i="7"/>
  <c r="AH571" i="7"/>
  <c r="AJ571" i="7" s="1"/>
  <c r="AI571" i="7"/>
  <c r="T572" i="7"/>
  <c r="U572" i="7"/>
  <c r="X572" i="7"/>
  <c r="AH572" i="7"/>
  <c r="T573" i="7"/>
  <c r="U573" i="7"/>
  <c r="X573" i="7"/>
  <c r="AH573" i="7"/>
  <c r="AJ573" i="7" s="1"/>
  <c r="AI573" i="7"/>
  <c r="T574" i="7"/>
  <c r="U574" i="7"/>
  <c r="X574" i="7"/>
  <c r="AH574" i="7"/>
  <c r="AJ574" i="7" s="1"/>
  <c r="AI574" i="7"/>
  <c r="T575" i="7"/>
  <c r="U575" i="7"/>
  <c r="X575" i="7"/>
  <c r="AH575" i="7"/>
  <c r="AJ575" i="7" s="1"/>
  <c r="AI575" i="7"/>
  <c r="T576" i="7"/>
  <c r="U576" i="7"/>
  <c r="X576" i="7"/>
  <c r="AH576" i="7"/>
  <c r="T577" i="7"/>
  <c r="U577" i="7"/>
  <c r="X577" i="7"/>
  <c r="AH577" i="7"/>
  <c r="AJ577" i="7" s="1"/>
  <c r="T578" i="7"/>
  <c r="U578" i="7"/>
  <c r="X578" i="7"/>
  <c r="AH578" i="7"/>
  <c r="T579" i="7"/>
  <c r="U579" i="7"/>
  <c r="X579" i="7"/>
  <c r="AH579" i="7"/>
  <c r="AJ579" i="7" s="1"/>
  <c r="AI579" i="7"/>
  <c r="T580" i="7"/>
  <c r="U580" i="7"/>
  <c r="X580" i="7"/>
  <c r="AH580" i="7"/>
  <c r="T581" i="7"/>
  <c r="U581" i="7"/>
  <c r="X581" i="7"/>
  <c r="AH581" i="7"/>
  <c r="AJ581" i="7" s="1"/>
  <c r="AI581" i="7"/>
  <c r="T582" i="7"/>
  <c r="U582" i="7"/>
  <c r="X582" i="7"/>
  <c r="AH582" i="7"/>
  <c r="AJ582" i="7" s="1"/>
  <c r="AI582" i="7"/>
  <c r="T583" i="7"/>
  <c r="U583" i="7"/>
  <c r="X583" i="7"/>
  <c r="AH583" i="7"/>
  <c r="AJ583" i="7" s="1"/>
  <c r="AI583" i="7"/>
  <c r="T584" i="7"/>
  <c r="U584" i="7"/>
  <c r="X584" i="7"/>
  <c r="AH584" i="7"/>
  <c r="T585" i="7"/>
  <c r="U585" i="7"/>
  <c r="X585" i="7"/>
  <c r="AH585" i="7"/>
  <c r="T586" i="7"/>
  <c r="U586" i="7"/>
  <c r="X586" i="7"/>
  <c r="AH586" i="7"/>
  <c r="AJ586" i="7" s="1"/>
  <c r="T587" i="7"/>
  <c r="U587" i="7"/>
  <c r="X587" i="7"/>
  <c r="AH587" i="7"/>
  <c r="AJ587" i="7" s="1"/>
  <c r="AI587" i="7"/>
  <c r="T588" i="7"/>
  <c r="U588" i="7"/>
  <c r="X588" i="7"/>
  <c r="AH588" i="7"/>
  <c r="T589" i="7"/>
  <c r="U589" i="7"/>
  <c r="X589" i="7"/>
  <c r="AH589" i="7"/>
  <c r="AJ589" i="7" s="1"/>
  <c r="AI589" i="7"/>
  <c r="T590" i="7"/>
  <c r="U590" i="7"/>
  <c r="X590" i="7"/>
  <c r="AH590" i="7"/>
  <c r="AJ590" i="7" s="1"/>
  <c r="AI590" i="7"/>
  <c r="T591" i="7"/>
  <c r="U591" i="7"/>
  <c r="X591" i="7"/>
  <c r="AH591" i="7"/>
  <c r="AJ591" i="7" s="1"/>
  <c r="AI591" i="7"/>
  <c r="T592" i="7"/>
  <c r="U592" i="7"/>
  <c r="X592" i="7"/>
  <c r="AH592" i="7"/>
  <c r="T593" i="7"/>
  <c r="U593" i="7"/>
  <c r="X593" i="7"/>
  <c r="AH593" i="7"/>
  <c r="AJ593" i="7" s="1"/>
  <c r="T594" i="7"/>
  <c r="U594" i="7"/>
  <c r="X594" i="7"/>
  <c r="AH594" i="7"/>
  <c r="T595" i="7"/>
  <c r="U595" i="7"/>
  <c r="X595" i="7"/>
  <c r="AH595" i="7"/>
  <c r="AJ595" i="7" s="1"/>
  <c r="AI595" i="7"/>
  <c r="T596" i="7"/>
  <c r="U596" i="7"/>
  <c r="X596" i="7"/>
  <c r="AH596" i="7"/>
  <c r="T597" i="7"/>
  <c r="U597" i="7"/>
  <c r="X597" i="7"/>
  <c r="AH597" i="7"/>
  <c r="AJ597" i="7" s="1"/>
  <c r="AI597" i="7"/>
  <c r="T598" i="7"/>
  <c r="U598" i="7"/>
  <c r="X598" i="7"/>
  <c r="AH598" i="7"/>
  <c r="AJ598" i="7" s="1"/>
  <c r="AI598" i="7"/>
  <c r="T599" i="7"/>
  <c r="U599" i="7"/>
  <c r="X599" i="7"/>
  <c r="AH599" i="7"/>
  <c r="AJ599" i="7" s="1"/>
  <c r="AI599" i="7"/>
  <c r="T600" i="7"/>
  <c r="U600" i="7"/>
  <c r="X600" i="7"/>
  <c r="AH600" i="7"/>
  <c r="T601" i="7"/>
  <c r="U601" i="7"/>
  <c r="X601" i="7"/>
  <c r="AH601" i="7"/>
  <c r="T602" i="7"/>
  <c r="U602" i="7"/>
  <c r="X602" i="7"/>
  <c r="AH602" i="7"/>
  <c r="AJ602" i="7" s="1"/>
  <c r="T603" i="7"/>
  <c r="U603" i="7"/>
  <c r="X603" i="7"/>
  <c r="AH603" i="7"/>
  <c r="AJ603" i="7" s="1"/>
  <c r="AI603" i="7"/>
  <c r="T604" i="7"/>
  <c r="U604" i="7"/>
  <c r="X604" i="7"/>
  <c r="AH604" i="7"/>
  <c r="T605" i="7"/>
  <c r="U605" i="7"/>
  <c r="X605" i="7"/>
  <c r="AH605" i="7"/>
  <c r="AJ605" i="7" s="1"/>
  <c r="AI605" i="7"/>
  <c r="T606" i="7"/>
  <c r="U606" i="7"/>
  <c r="X606" i="7"/>
  <c r="AH606" i="7"/>
  <c r="AJ606" i="7" s="1"/>
  <c r="AI606" i="7"/>
  <c r="T607" i="7"/>
  <c r="U607" i="7"/>
  <c r="X607" i="7"/>
  <c r="AH607" i="7"/>
  <c r="AJ607" i="7" s="1"/>
  <c r="AI607" i="7"/>
  <c r="T608" i="7"/>
  <c r="U608" i="7"/>
  <c r="X608" i="7"/>
  <c r="AH608" i="7"/>
  <c r="T609" i="7"/>
  <c r="U609" i="7"/>
  <c r="X609" i="7"/>
  <c r="AH609" i="7"/>
  <c r="AJ609" i="7" s="1"/>
  <c r="T610" i="7"/>
  <c r="U610" i="7"/>
  <c r="X610" i="7"/>
  <c r="AH610" i="7"/>
  <c r="T611" i="7"/>
  <c r="U611" i="7"/>
  <c r="X611" i="7"/>
  <c r="AH611" i="7"/>
  <c r="AJ611" i="7" s="1"/>
  <c r="AI611" i="7"/>
  <c r="T612" i="7"/>
  <c r="U612" i="7"/>
  <c r="X612" i="7"/>
  <c r="AH612" i="7"/>
  <c r="T613" i="7"/>
  <c r="U613" i="7"/>
  <c r="X613" i="7"/>
  <c r="AH613" i="7"/>
  <c r="AJ613" i="7" s="1"/>
  <c r="AI613" i="7"/>
  <c r="T614" i="7"/>
  <c r="U614" i="7"/>
  <c r="X614" i="7"/>
  <c r="AH614" i="7"/>
  <c r="AJ614" i="7" s="1"/>
  <c r="T615" i="7"/>
  <c r="U615" i="7"/>
  <c r="X615" i="7"/>
  <c r="AH615" i="7"/>
  <c r="AJ615" i="7" s="1"/>
  <c r="AI615" i="7"/>
  <c r="T616" i="7"/>
  <c r="U616" i="7"/>
  <c r="X616" i="7"/>
  <c r="AH616" i="7"/>
  <c r="T617" i="7"/>
  <c r="U617" i="7"/>
  <c r="X617" i="7"/>
  <c r="AH617" i="7"/>
  <c r="AJ617" i="7" s="1"/>
  <c r="AI617" i="7"/>
  <c r="T618" i="7"/>
  <c r="U618" i="7"/>
  <c r="X618" i="7"/>
  <c r="AH618" i="7"/>
  <c r="AJ618" i="7" s="1"/>
  <c r="T619" i="7"/>
  <c r="U619" i="7"/>
  <c r="X619" i="7"/>
  <c r="AH619" i="7"/>
  <c r="AJ619" i="7" s="1"/>
  <c r="AI619" i="7"/>
  <c r="T620" i="7"/>
  <c r="U620" i="7"/>
  <c r="X620" i="7"/>
  <c r="AH620" i="7"/>
  <c r="T621" i="7"/>
  <c r="U621" i="7"/>
  <c r="X621" i="7"/>
  <c r="AH621" i="7"/>
  <c r="AJ621" i="7" s="1"/>
  <c r="AI621" i="7"/>
  <c r="T622" i="7"/>
  <c r="U622" i="7"/>
  <c r="X622" i="7"/>
  <c r="AH622" i="7"/>
  <c r="AJ622" i="7" s="1"/>
  <c r="T623" i="7"/>
  <c r="U623" i="7"/>
  <c r="X623" i="7"/>
  <c r="AH623" i="7"/>
  <c r="AJ623" i="7" s="1"/>
  <c r="AI623" i="7"/>
  <c r="T624" i="7"/>
  <c r="U624" i="7"/>
  <c r="X624" i="7"/>
  <c r="AH624" i="7"/>
  <c r="T625" i="7"/>
  <c r="U625" i="7"/>
  <c r="X625" i="7"/>
  <c r="AH625" i="7"/>
  <c r="AJ625" i="7" s="1"/>
  <c r="AI625" i="7"/>
  <c r="T626" i="7"/>
  <c r="U626" i="7"/>
  <c r="X626" i="7"/>
  <c r="AH626" i="7"/>
  <c r="AJ626" i="7" s="1"/>
  <c r="T627" i="7"/>
  <c r="U627" i="7"/>
  <c r="X627" i="7"/>
  <c r="AH627" i="7"/>
  <c r="AJ627" i="7" s="1"/>
  <c r="AI627" i="7"/>
  <c r="T628" i="7"/>
  <c r="U628" i="7"/>
  <c r="X628" i="7"/>
  <c r="AH628" i="7"/>
  <c r="T629" i="7"/>
  <c r="U629" i="7"/>
  <c r="X629" i="7"/>
  <c r="AH629" i="7"/>
  <c r="AJ629" i="7" s="1"/>
  <c r="AI629" i="7"/>
  <c r="T630" i="7"/>
  <c r="U630" i="7"/>
  <c r="X630" i="7"/>
  <c r="AH630" i="7"/>
  <c r="AJ630" i="7" s="1"/>
  <c r="T631" i="7"/>
  <c r="U631" i="7"/>
  <c r="X631" i="7"/>
  <c r="AH631" i="7"/>
  <c r="AJ631" i="7" s="1"/>
  <c r="AI631" i="7"/>
  <c r="T632" i="7"/>
  <c r="U632" i="7"/>
  <c r="X632" i="7"/>
  <c r="AH632" i="7"/>
  <c r="T633" i="7"/>
  <c r="U633" i="7"/>
  <c r="X633" i="7"/>
  <c r="AH633" i="7"/>
  <c r="AJ633" i="7" s="1"/>
  <c r="AI633" i="7"/>
  <c r="T634" i="7"/>
  <c r="U634" i="7"/>
  <c r="X634" i="7"/>
  <c r="AH634" i="7"/>
  <c r="AJ634" i="7" s="1"/>
  <c r="T635" i="7"/>
  <c r="U635" i="7"/>
  <c r="X635" i="7"/>
  <c r="AH635" i="7"/>
  <c r="AJ635" i="7" s="1"/>
  <c r="AI635" i="7"/>
  <c r="T636" i="7"/>
  <c r="U636" i="7"/>
  <c r="X636" i="7"/>
  <c r="AH636" i="7"/>
  <c r="T637" i="7"/>
  <c r="U637" i="7"/>
  <c r="X637" i="7"/>
  <c r="AH637" i="7"/>
  <c r="AJ637" i="7" s="1"/>
  <c r="AI637" i="7"/>
  <c r="T638" i="7"/>
  <c r="U638" i="7"/>
  <c r="X638" i="7"/>
  <c r="AH638" i="7"/>
  <c r="AJ638" i="7" s="1"/>
  <c r="T639" i="7"/>
  <c r="U639" i="7"/>
  <c r="X639" i="7"/>
  <c r="AH639" i="7"/>
  <c r="AJ639" i="7" s="1"/>
  <c r="AI639" i="7"/>
  <c r="T640" i="7"/>
  <c r="U640" i="7"/>
  <c r="X640" i="7"/>
  <c r="AH640" i="7"/>
  <c r="T641" i="7"/>
  <c r="U641" i="7"/>
  <c r="X641" i="7"/>
  <c r="AH641" i="7"/>
  <c r="AJ641" i="7" s="1"/>
  <c r="AI641" i="7"/>
  <c r="T642" i="7"/>
  <c r="U642" i="7"/>
  <c r="X642" i="7"/>
  <c r="AH642" i="7"/>
  <c r="AJ642" i="7" s="1"/>
  <c r="T643" i="7"/>
  <c r="U643" i="7"/>
  <c r="X643" i="7"/>
  <c r="AH643" i="7"/>
  <c r="AJ643" i="7" s="1"/>
  <c r="AI643" i="7"/>
  <c r="T644" i="7"/>
  <c r="U644" i="7"/>
  <c r="X644" i="7"/>
  <c r="AH644" i="7"/>
  <c r="T645" i="7"/>
  <c r="U645" i="7"/>
  <c r="X645" i="7"/>
  <c r="AH645" i="7"/>
  <c r="AJ645" i="7" s="1"/>
  <c r="AI645" i="7"/>
  <c r="T646" i="7"/>
  <c r="U646" i="7"/>
  <c r="X646" i="7"/>
  <c r="AH646" i="7"/>
  <c r="AJ646" i="7" s="1"/>
  <c r="T647" i="7"/>
  <c r="U647" i="7"/>
  <c r="X647" i="7"/>
  <c r="AH647" i="7"/>
  <c r="AJ647" i="7" s="1"/>
  <c r="AI647" i="7"/>
  <c r="T648" i="7"/>
  <c r="U648" i="7"/>
  <c r="X648" i="7"/>
  <c r="AH648" i="7"/>
  <c r="T649" i="7"/>
  <c r="U649" i="7"/>
  <c r="X649" i="7"/>
  <c r="AH649" i="7"/>
  <c r="AJ649" i="7" s="1"/>
  <c r="AI649" i="7"/>
  <c r="T650" i="7"/>
  <c r="U650" i="7"/>
  <c r="X650" i="7"/>
  <c r="AH650" i="7"/>
  <c r="AJ650" i="7" s="1"/>
  <c r="T651" i="7"/>
  <c r="U651" i="7"/>
  <c r="X651" i="7"/>
  <c r="AH651" i="7"/>
  <c r="AJ651" i="7" s="1"/>
  <c r="AI651" i="7"/>
  <c r="T652" i="7"/>
  <c r="U652" i="7"/>
  <c r="X652" i="7"/>
  <c r="AH652" i="7"/>
  <c r="T653" i="7"/>
  <c r="U653" i="7"/>
  <c r="X653" i="7"/>
  <c r="AH653" i="7"/>
  <c r="AJ653" i="7" s="1"/>
  <c r="AI653" i="7"/>
  <c r="T654" i="7"/>
  <c r="U654" i="7"/>
  <c r="X654" i="7"/>
  <c r="AH654" i="7"/>
  <c r="AJ654" i="7" s="1"/>
  <c r="T655" i="7"/>
  <c r="U655" i="7"/>
  <c r="X655" i="7"/>
  <c r="AH655" i="7"/>
  <c r="AJ655" i="7" s="1"/>
  <c r="AI655" i="7"/>
  <c r="T656" i="7"/>
  <c r="U656" i="7"/>
  <c r="X656" i="7"/>
  <c r="AH656" i="7"/>
  <c r="T657" i="7"/>
  <c r="U657" i="7"/>
  <c r="X657" i="7"/>
  <c r="AH657" i="7"/>
  <c r="AJ657" i="7" s="1"/>
  <c r="AI657" i="7"/>
  <c r="T658" i="7"/>
  <c r="U658" i="7"/>
  <c r="X658" i="7"/>
  <c r="AH658" i="7"/>
  <c r="AJ658" i="7" s="1"/>
  <c r="T659" i="7"/>
  <c r="U659" i="7"/>
  <c r="X659" i="7"/>
  <c r="AH659" i="7"/>
  <c r="AJ659" i="7" s="1"/>
  <c r="AI659" i="7"/>
  <c r="T660" i="7"/>
  <c r="U660" i="7"/>
  <c r="X660" i="7"/>
  <c r="AH660" i="7"/>
  <c r="T661" i="7"/>
  <c r="U661" i="7"/>
  <c r="X661" i="7"/>
  <c r="AH661" i="7"/>
  <c r="AJ661" i="7" s="1"/>
  <c r="AI661" i="7"/>
  <c r="T662" i="7"/>
  <c r="U662" i="7"/>
  <c r="X662" i="7"/>
  <c r="AH662" i="7"/>
  <c r="AJ662" i="7" s="1"/>
  <c r="T663" i="7"/>
  <c r="U663" i="7"/>
  <c r="X663" i="7"/>
  <c r="AH663" i="7"/>
  <c r="AJ663" i="7" s="1"/>
  <c r="AI663" i="7"/>
  <c r="T664" i="7"/>
  <c r="U664" i="7"/>
  <c r="X664" i="7"/>
  <c r="AH664" i="7"/>
  <c r="T665" i="7"/>
  <c r="U665" i="7"/>
  <c r="X665" i="7"/>
  <c r="AH665" i="7"/>
  <c r="AJ665" i="7" s="1"/>
  <c r="AI665" i="7"/>
  <c r="T666" i="7"/>
  <c r="U666" i="7"/>
  <c r="X666" i="7"/>
  <c r="AH666" i="7"/>
  <c r="AJ666" i="7" s="1"/>
  <c r="T667" i="7"/>
  <c r="U667" i="7"/>
  <c r="X667" i="7"/>
  <c r="AH667" i="7"/>
  <c r="AJ667" i="7" s="1"/>
  <c r="AI667" i="7"/>
  <c r="T668" i="7"/>
  <c r="U668" i="7"/>
  <c r="X668" i="7"/>
  <c r="AH668" i="7"/>
  <c r="T669" i="7"/>
  <c r="U669" i="7"/>
  <c r="X669" i="7"/>
  <c r="AH669" i="7"/>
  <c r="AJ669" i="7" s="1"/>
  <c r="AI669" i="7"/>
  <c r="T670" i="7"/>
  <c r="U670" i="7"/>
  <c r="X670" i="7"/>
  <c r="AH670" i="7"/>
  <c r="AJ670" i="7" s="1"/>
  <c r="T671" i="7"/>
  <c r="U671" i="7"/>
  <c r="X671" i="7"/>
  <c r="AH671" i="7"/>
  <c r="AJ671" i="7" s="1"/>
  <c r="AI671" i="7"/>
  <c r="T672" i="7"/>
  <c r="U672" i="7"/>
  <c r="X672" i="7"/>
  <c r="AH672" i="7"/>
  <c r="T673" i="7"/>
  <c r="U673" i="7"/>
  <c r="X673" i="7"/>
  <c r="AH673" i="7"/>
  <c r="AJ673" i="7" s="1"/>
  <c r="AI673" i="7"/>
  <c r="T674" i="7"/>
  <c r="U674" i="7"/>
  <c r="X674" i="7"/>
  <c r="AH674" i="7"/>
  <c r="AJ674" i="7" s="1"/>
  <c r="T675" i="7"/>
  <c r="U675" i="7"/>
  <c r="X675" i="7"/>
  <c r="AH675" i="7"/>
  <c r="AJ675" i="7" s="1"/>
  <c r="AI675" i="7"/>
  <c r="T676" i="7"/>
  <c r="U676" i="7"/>
  <c r="X676" i="7"/>
  <c r="AH676" i="7"/>
  <c r="T677" i="7"/>
  <c r="U677" i="7"/>
  <c r="X677" i="7"/>
  <c r="AH677" i="7"/>
  <c r="AJ677" i="7" s="1"/>
  <c r="AI677" i="7"/>
  <c r="T678" i="7"/>
  <c r="U678" i="7"/>
  <c r="X678" i="7"/>
  <c r="AH678" i="7"/>
  <c r="AJ678" i="7" s="1"/>
  <c r="T679" i="7"/>
  <c r="U679" i="7"/>
  <c r="X679" i="7"/>
  <c r="AH679" i="7"/>
  <c r="AJ679" i="7" s="1"/>
  <c r="AI679" i="7"/>
  <c r="T680" i="7"/>
  <c r="U680" i="7"/>
  <c r="X680" i="7"/>
  <c r="AH680" i="7"/>
  <c r="T681" i="7"/>
  <c r="U681" i="7"/>
  <c r="X681" i="7"/>
  <c r="AH681" i="7"/>
  <c r="AJ681" i="7" s="1"/>
  <c r="AI681" i="7"/>
  <c r="T682" i="7"/>
  <c r="U682" i="7"/>
  <c r="X682" i="7"/>
  <c r="AH682" i="7"/>
  <c r="AJ682" i="7" s="1"/>
  <c r="T683" i="7"/>
  <c r="U683" i="7"/>
  <c r="X683" i="7"/>
  <c r="AH683" i="7"/>
  <c r="AJ683" i="7" s="1"/>
  <c r="AI683" i="7"/>
  <c r="T684" i="7"/>
  <c r="U684" i="7"/>
  <c r="X684" i="7"/>
  <c r="AH684" i="7"/>
  <c r="T685" i="7"/>
  <c r="U685" i="7"/>
  <c r="X685" i="7"/>
  <c r="AH685" i="7"/>
  <c r="AJ685" i="7" s="1"/>
  <c r="AI685" i="7"/>
  <c r="T686" i="7"/>
  <c r="U686" i="7"/>
  <c r="X686" i="7"/>
  <c r="AH686" i="7"/>
  <c r="AJ686" i="7" s="1"/>
  <c r="T687" i="7"/>
  <c r="U687" i="7"/>
  <c r="X687" i="7"/>
  <c r="AH687" i="7"/>
  <c r="AJ687" i="7" s="1"/>
  <c r="AI687" i="7"/>
  <c r="T688" i="7"/>
  <c r="U688" i="7"/>
  <c r="X688" i="7"/>
  <c r="AH688" i="7"/>
  <c r="T689" i="7"/>
  <c r="U689" i="7"/>
  <c r="X689" i="7"/>
  <c r="AH689" i="7"/>
  <c r="AJ689" i="7" s="1"/>
  <c r="AI689" i="7"/>
  <c r="T690" i="7"/>
  <c r="U690" i="7"/>
  <c r="X690" i="7"/>
  <c r="AH690" i="7"/>
  <c r="AJ690" i="7" s="1"/>
  <c r="T691" i="7"/>
  <c r="U691" i="7"/>
  <c r="X691" i="7"/>
  <c r="AH691" i="7"/>
  <c r="AJ691" i="7" s="1"/>
  <c r="AI691" i="7"/>
  <c r="T692" i="7"/>
  <c r="U692" i="7"/>
  <c r="X692" i="7"/>
  <c r="AH692" i="7"/>
  <c r="T693" i="7"/>
  <c r="U693" i="7"/>
  <c r="X693" i="7"/>
  <c r="AH693" i="7"/>
  <c r="AJ693" i="7" s="1"/>
  <c r="AI693" i="7"/>
  <c r="T694" i="7"/>
  <c r="U694" i="7"/>
  <c r="X694" i="7"/>
  <c r="AH694" i="7"/>
  <c r="AJ694" i="7" s="1"/>
  <c r="T695" i="7"/>
  <c r="U695" i="7"/>
  <c r="X695" i="7"/>
  <c r="AH695" i="7"/>
  <c r="AJ695" i="7" s="1"/>
  <c r="AI695" i="7"/>
  <c r="T696" i="7"/>
  <c r="U696" i="7"/>
  <c r="X696" i="7"/>
  <c r="AH696" i="7"/>
  <c r="T697" i="7"/>
  <c r="U697" i="7"/>
  <c r="X697" i="7"/>
  <c r="AH697" i="7"/>
  <c r="AJ697" i="7" s="1"/>
  <c r="AI697" i="7"/>
  <c r="T698" i="7"/>
  <c r="U698" i="7"/>
  <c r="X698" i="7"/>
  <c r="AH698" i="7"/>
  <c r="AJ698" i="7" s="1"/>
  <c r="T699" i="7"/>
  <c r="U699" i="7"/>
  <c r="X699" i="7"/>
  <c r="AH699" i="7"/>
  <c r="AJ699" i="7" s="1"/>
  <c r="AI699" i="7"/>
  <c r="T700" i="7"/>
  <c r="U700" i="7"/>
  <c r="X700" i="7"/>
  <c r="AH700" i="7"/>
  <c r="T701" i="7"/>
  <c r="U701" i="7"/>
  <c r="X701" i="7"/>
  <c r="AH701" i="7"/>
  <c r="AJ701" i="7" s="1"/>
  <c r="AI701" i="7"/>
  <c r="T702" i="7"/>
  <c r="U702" i="7"/>
  <c r="X702" i="7"/>
  <c r="AH702" i="7"/>
  <c r="AJ702" i="7" s="1"/>
  <c r="T703" i="7"/>
  <c r="U703" i="7"/>
  <c r="X703" i="7"/>
  <c r="AH703" i="7"/>
  <c r="AJ703" i="7" s="1"/>
  <c r="AI703" i="7"/>
  <c r="T704" i="7"/>
  <c r="U704" i="7"/>
  <c r="X704" i="7"/>
  <c r="AH704" i="7"/>
  <c r="T705" i="7"/>
  <c r="U705" i="7"/>
  <c r="X705" i="7"/>
  <c r="AH705" i="7"/>
  <c r="AJ705" i="7" s="1"/>
  <c r="AI705" i="7"/>
  <c r="T706" i="7"/>
  <c r="U706" i="7"/>
  <c r="X706" i="7"/>
  <c r="AH706" i="7"/>
  <c r="AJ706" i="7" s="1"/>
  <c r="T707" i="7"/>
  <c r="U707" i="7"/>
  <c r="X707" i="7"/>
  <c r="AH707" i="7"/>
  <c r="AJ707" i="7" s="1"/>
  <c r="AI707" i="7"/>
  <c r="T708" i="7"/>
  <c r="U708" i="7"/>
  <c r="X708" i="7"/>
  <c r="AH708" i="7"/>
  <c r="T709" i="7"/>
  <c r="U709" i="7"/>
  <c r="X709" i="7"/>
  <c r="AH709" i="7"/>
  <c r="AJ709" i="7" s="1"/>
  <c r="AI709" i="7"/>
  <c r="T710" i="7"/>
  <c r="U710" i="7"/>
  <c r="X710" i="7"/>
  <c r="AH710" i="7"/>
  <c r="AJ710" i="7" s="1"/>
  <c r="T711" i="7"/>
  <c r="U711" i="7"/>
  <c r="X711" i="7"/>
  <c r="AH711" i="7"/>
  <c r="AJ711" i="7" s="1"/>
  <c r="AI711" i="7"/>
  <c r="T712" i="7"/>
  <c r="U712" i="7"/>
  <c r="X712" i="7"/>
  <c r="AH712" i="7"/>
  <c r="T713" i="7"/>
  <c r="U713" i="7"/>
  <c r="X713" i="7"/>
  <c r="AH713" i="7"/>
  <c r="AJ713" i="7" s="1"/>
  <c r="AI713" i="7"/>
  <c r="T714" i="7"/>
  <c r="U714" i="7"/>
  <c r="X714" i="7"/>
  <c r="AH714" i="7"/>
  <c r="AJ714" i="7" s="1"/>
  <c r="T715" i="7"/>
  <c r="U715" i="7"/>
  <c r="X715" i="7"/>
  <c r="AH715" i="7"/>
  <c r="AJ715" i="7" s="1"/>
  <c r="AI715" i="7"/>
  <c r="T716" i="7"/>
  <c r="U716" i="7"/>
  <c r="X716" i="7"/>
  <c r="AH716" i="7"/>
  <c r="T717" i="7"/>
  <c r="U717" i="7"/>
  <c r="X717" i="7"/>
  <c r="AH717" i="7"/>
  <c r="AJ717" i="7" s="1"/>
  <c r="AI717" i="7"/>
  <c r="T718" i="7"/>
  <c r="U718" i="7"/>
  <c r="X718" i="7"/>
  <c r="AH718" i="7"/>
  <c r="AJ718" i="7" s="1"/>
  <c r="T719" i="7"/>
  <c r="U719" i="7"/>
  <c r="X719" i="7"/>
  <c r="AH719" i="7"/>
  <c r="AJ719" i="7" s="1"/>
  <c r="AI719" i="7"/>
  <c r="T720" i="7"/>
  <c r="U720" i="7"/>
  <c r="X720" i="7"/>
  <c r="AH720" i="7"/>
  <c r="T721" i="7"/>
  <c r="U721" i="7"/>
  <c r="X721" i="7"/>
  <c r="AH721" i="7"/>
  <c r="AJ721" i="7" s="1"/>
  <c r="AI721" i="7"/>
  <c r="T722" i="7"/>
  <c r="U722" i="7"/>
  <c r="X722" i="7"/>
  <c r="AH722" i="7"/>
  <c r="AJ722" i="7" s="1"/>
  <c r="T723" i="7"/>
  <c r="U723" i="7"/>
  <c r="X723" i="7"/>
  <c r="AH723" i="7"/>
  <c r="AJ723" i="7" s="1"/>
  <c r="AI723" i="7"/>
  <c r="T724" i="7"/>
  <c r="U724" i="7"/>
  <c r="X724" i="7"/>
  <c r="AH724" i="7"/>
  <c r="T725" i="7"/>
  <c r="U725" i="7"/>
  <c r="X725" i="7"/>
  <c r="AH725" i="7"/>
  <c r="AJ725" i="7" s="1"/>
  <c r="AI725" i="7"/>
  <c r="T726" i="7"/>
  <c r="U726" i="7"/>
  <c r="X726" i="7"/>
  <c r="AH726" i="7"/>
  <c r="T727" i="7"/>
  <c r="U727" i="7"/>
  <c r="X727" i="7"/>
  <c r="AH727" i="7"/>
  <c r="AJ727" i="7" s="1"/>
  <c r="AI727" i="7"/>
  <c r="T728" i="7"/>
  <c r="U728" i="7"/>
  <c r="X728" i="7"/>
  <c r="AH728" i="7"/>
  <c r="T729" i="7"/>
  <c r="U729" i="7"/>
  <c r="X729" i="7"/>
  <c r="AH729" i="7"/>
  <c r="AJ729" i="7" s="1"/>
  <c r="AI729" i="7"/>
  <c r="T730" i="7"/>
  <c r="U730" i="7"/>
  <c r="X730" i="7"/>
  <c r="AH730" i="7"/>
  <c r="T731" i="7"/>
  <c r="U731" i="7"/>
  <c r="X731" i="7"/>
  <c r="AH731" i="7"/>
  <c r="AJ731" i="7" s="1"/>
  <c r="AI731" i="7"/>
  <c r="T732" i="7"/>
  <c r="U732" i="7"/>
  <c r="X732" i="7"/>
  <c r="AH732" i="7"/>
  <c r="T733" i="7"/>
  <c r="U733" i="7"/>
  <c r="X733" i="7"/>
  <c r="AH733" i="7"/>
  <c r="AJ733" i="7" s="1"/>
  <c r="AI733" i="7"/>
  <c r="T734" i="7"/>
  <c r="U734" i="7"/>
  <c r="X734" i="7"/>
  <c r="AH734" i="7"/>
  <c r="T735" i="7"/>
  <c r="U735" i="7"/>
  <c r="X735" i="7"/>
  <c r="AH735" i="7"/>
  <c r="AJ735" i="7" s="1"/>
  <c r="AI735" i="7"/>
  <c r="T736" i="7"/>
  <c r="U736" i="7"/>
  <c r="X736" i="7"/>
  <c r="AH736" i="7"/>
  <c r="T737" i="7"/>
  <c r="U737" i="7"/>
  <c r="X737" i="7"/>
  <c r="AH737" i="7"/>
  <c r="AJ737" i="7" s="1"/>
  <c r="AI737" i="7"/>
  <c r="T738" i="7"/>
  <c r="U738" i="7"/>
  <c r="X738" i="7"/>
  <c r="AH738" i="7"/>
  <c r="T739" i="7"/>
  <c r="U739" i="7"/>
  <c r="X739" i="7"/>
  <c r="AH739" i="7"/>
  <c r="AJ739" i="7" s="1"/>
  <c r="AI739" i="7"/>
  <c r="T740" i="7"/>
  <c r="U740" i="7"/>
  <c r="X740" i="7"/>
  <c r="AH740" i="7"/>
  <c r="T741" i="7"/>
  <c r="U741" i="7"/>
  <c r="X741" i="7"/>
  <c r="AH741" i="7"/>
  <c r="AJ741" i="7" s="1"/>
  <c r="AI741" i="7"/>
  <c r="T742" i="7"/>
  <c r="U742" i="7"/>
  <c r="X742" i="7"/>
  <c r="AH742" i="7"/>
  <c r="T743" i="7"/>
  <c r="U743" i="7"/>
  <c r="X743" i="7"/>
  <c r="AH743" i="7"/>
  <c r="AJ743" i="7" s="1"/>
  <c r="AI743" i="7"/>
  <c r="T744" i="7"/>
  <c r="U744" i="7"/>
  <c r="X744" i="7"/>
  <c r="AH744" i="7"/>
  <c r="AJ744" i="7" s="1"/>
  <c r="T745" i="7"/>
  <c r="U745" i="7"/>
  <c r="X745" i="7"/>
  <c r="AH745" i="7"/>
  <c r="AJ745" i="7" s="1"/>
  <c r="AI745" i="7"/>
  <c r="T746" i="7"/>
  <c r="U746" i="7"/>
  <c r="X746" i="7"/>
  <c r="AH746" i="7"/>
  <c r="T747" i="7"/>
  <c r="U747" i="7"/>
  <c r="X747" i="7"/>
  <c r="AH747" i="7"/>
  <c r="AJ747" i="7" s="1"/>
  <c r="AI747" i="7"/>
  <c r="T748" i="7"/>
  <c r="U748" i="7"/>
  <c r="X748" i="7"/>
  <c r="AH748" i="7"/>
  <c r="AJ748" i="7" s="1"/>
  <c r="AI748" i="7"/>
  <c r="T749" i="7"/>
  <c r="U749" i="7"/>
  <c r="X749" i="7"/>
  <c r="AH749" i="7"/>
  <c r="AJ749" i="7" s="1"/>
  <c r="AI749" i="7"/>
  <c r="T750" i="7"/>
  <c r="U750" i="7"/>
  <c r="X750" i="7"/>
  <c r="AH750" i="7"/>
  <c r="T751" i="7"/>
  <c r="U751" i="7"/>
  <c r="X751" i="7"/>
  <c r="AH751" i="7"/>
  <c r="AJ751" i="7" s="1"/>
  <c r="T752" i="7"/>
  <c r="U752" i="7"/>
  <c r="X752" i="7"/>
  <c r="AH752" i="7"/>
  <c r="AJ752" i="7" s="1"/>
  <c r="T753" i="7"/>
  <c r="U753" i="7"/>
  <c r="X753" i="7"/>
  <c r="AH753" i="7"/>
  <c r="AJ753" i="7" s="1"/>
  <c r="AI753" i="7"/>
  <c r="T754" i="7"/>
  <c r="U754" i="7"/>
  <c r="X754" i="7"/>
  <c r="AH754" i="7"/>
  <c r="T755" i="7"/>
  <c r="U755" i="7"/>
  <c r="X755" i="7"/>
  <c r="AH755" i="7"/>
  <c r="AJ755" i="7" s="1"/>
  <c r="AI755" i="7"/>
  <c r="T756" i="7"/>
  <c r="U756" i="7"/>
  <c r="X756" i="7"/>
  <c r="AH756" i="7"/>
  <c r="AJ756" i="7" s="1"/>
  <c r="AI756" i="7"/>
  <c r="T757" i="7"/>
  <c r="U757" i="7"/>
  <c r="X757" i="7"/>
  <c r="AH757" i="7"/>
  <c r="AJ757" i="7" s="1"/>
  <c r="AI757" i="7"/>
  <c r="T758" i="7"/>
  <c r="U758" i="7"/>
  <c r="X758" i="7"/>
  <c r="AH758" i="7"/>
  <c r="T759" i="7"/>
  <c r="U759" i="7"/>
  <c r="X759" i="7"/>
  <c r="AH759" i="7"/>
  <c r="AJ759" i="7" s="1"/>
  <c r="T760" i="7"/>
  <c r="U760" i="7"/>
  <c r="X760" i="7"/>
  <c r="AH760" i="7"/>
  <c r="AJ760" i="7" s="1"/>
  <c r="T761" i="7"/>
  <c r="U761" i="7"/>
  <c r="X761" i="7"/>
  <c r="AH761" i="7"/>
  <c r="AJ761" i="7" s="1"/>
  <c r="AI761" i="7"/>
  <c r="T762" i="7"/>
  <c r="U762" i="7"/>
  <c r="X762" i="7"/>
  <c r="AH762" i="7"/>
  <c r="T763" i="7"/>
  <c r="U763" i="7"/>
  <c r="X763" i="7"/>
  <c r="AH763" i="7"/>
  <c r="AJ763" i="7" s="1"/>
  <c r="AI763" i="7"/>
  <c r="T764" i="7"/>
  <c r="U764" i="7"/>
  <c r="X764" i="7"/>
  <c r="AH764" i="7"/>
  <c r="AJ764" i="7" s="1"/>
  <c r="AI764" i="7"/>
  <c r="T765" i="7"/>
  <c r="U765" i="7"/>
  <c r="X765" i="7"/>
  <c r="AH765" i="7"/>
  <c r="AJ765" i="7" s="1"/>
  <c r="AI765" i="7"/>
  <c r="T766" i="7"/>
  <c r="U766" i="7"/>
  <c r="X766" i="7"/>
  <c r="AH766" i="7"/>
  <c r="T767" i="7"/>
  <c r="U767" i="7"/>
  <c r="X767" i="7"/>
  <c r="AH767" i="7"/>
  <c r="AJ767" i="7" s="1"/>
  <c r="T768" i="7"/>
  <c r="U768" i="7"/>
  <c r="X768" i="7"/>
  <c r="AH768" i="7"/>
  <c r="AJ768" i="7" s="1"/>
  <c r="T769" i="7"/>
  <c r="U769" i="7"/>
  <c r="X769" i="7"/>
  <c r="AH769" i="7"/>
  <c r="AJ769" i="7" s="1"/>
  <c r="AI769" i="7"/>
  <c r="T770" i="7"/>
  <c r="U770" i="7"/>
  <c r="X770" i="7"/>
  <c r="AH770" i="7"/>
  <c r="T771" i="7"/>
  <c r="U771" i="7"/>
  <c r="X771" i="7"/>
  <c r="AH771" i="7"/>
  <c r="AJ771" i="7" s="1"/>
  <c r="AI771" i="7"/>
  <c r="T772" i="7"/>
  <c r="U772" i="7"/>
  <c r="X772" i="7"/>
  <c r="AH772" i="7"/>
  <c r="AJ772" i="7" s="1"/>
  <c r="AI772" i="7"/>
  <c r="T773" i="7"/>
  <c r="U773" i="7"/>
  <c r="X773" i="7"/>
  <c r="AH773" i="7"/>
  <c r="AJ773" i="7" s="1"/>
  <c r="AI773" i="7"/>
  <c r="T774" i="7"/>
  <c r="U774" i="7"/>
  <c r="X774" i="7"/>
  <c r="AH774" i="7"/>
  <c r="T775" i="7"/>
  <c r="U775" i="7"/>
  <c r="X775" i="7"/>
  <c r="AH775" i="7"/>
  <c r="AJ775" i="7" s="1"/>
  <c r="T776" i="7"/>
  <c r="U776" i="7"/>
  <c r="X776" i="7"/>
  <c r="AH776" i="7"/>
  <c r="AJ776" i="7" s="1"/>
  <c r="T777" i="7"/>
  <c r="U777" i="7"/>
  <c r="X777" i="7"/>
  <c r="AH777" i="7"/>
  <c r="AJ777" i="7" s="1"/>
  <c r="AI777" i="7"/>
  <c r="T778" i="7"/>
  <c r="U778" i="7"/>
  <c r="X778" i="7"/>
  <c r="AH778" i="7"/>
  <c r="T779" i="7"/>
  <c r="U779" i="7"/>
  <c r="X779" i="7"/>
  <c r="AH779" i="7"/>
  <c r="AJ779" i="7" s="1"/>
  <c r="AI779" i="7"/>
  <c r="T780" i="7"/>
  <c r="U780" i="7"/>
  <c r="X780" i="7"/>
  <c r="AH780" i="7"/>
  <c r="AJ780" i="7" s="1"/>
  <c r="AI780" i="7"/>
  <c r="T781" i="7"/>
  <c r="U781" i="7"/>
  <c r="X781" i="7"/>
  <c r="AH781" i="7"/>
  <c r="AJ781" i="7" s="1"/>
  <c r="AI781" i="7"/>
  <c r="T782" i="7"/>
  <c r="U782" i="7"/>
  <c r="X782" i="7"/>
  <c r="AH782" i="7"/>
  <c r="T783" i="7"/>
  <c r="U783" i="7"/>
  <c r="X783" i="7"/>
  <c r="AH783" i="7"/>
  <c r="AJ783" i="7" s="1"/>
  <c r="T784" i="7"/>
  <c r="U784" i="7"/>
  <c r="X784" i="7"/>
  <c r="AH784" i="7"/>
  <c r="AJ784" i="7" s="1"/>
  <c r="T785" i="7"/>
  <c r="U785" i="7"/>
  <c r="X785" i="7"/>
  <c r="AH785" i="7"/>
  <c r="AJ785" i="7" s="1"/>
  <c r="AI785" i="7"/>
  <c r="T786" i="7"/>
  <c r="U786" i="7"/>
  <c r="X786" i="7"/>
  <c r="AH786" i="7"/>
  <c r="T787" i="7"/>
  <c r="U787" i="7"/>
  <c r="X787" i="7"/>
  <c r="AH787" i="7"/>
  <c r="AJ787" i="7" s="1"/>
  <c r="AI787" i="7"/>
  <c r="T788" i="7"/>
  <c r="U788" i="7"/>
  <c r="X788" i="7"/>
  <c r="AH788" i="7"/>
  <c r="AJ788" i="7" s="1"/>
  <c r="AI788" i="7"/>
  <c r="T789" i="7"/>
  <c r="U789" i="7"/>
  <c r="X789" i="7"/>
  <c r="AH789" i="7"/>
  <c r="AJ789" i="7" s="1"/>
  <c r="AI789" i="7"/>
  <c r="T790" i="7"/>
  <c r="U790" i="7"/>
  <c r="X790" i="7"/>
  <c r="AH790" i="7"/>
  <c r="T791" i="7"/>
  <c r="U791" i="7"/>
  <c r="X791" i="7"/>
  <c r="AH791" i="7"/>
  <c r="AJ791" i="7" s="1"/>
  <c r="T792" i="7"/>
  <c r="U792" i="7"/>
  <c r="X792" i="7"/>
  <c r="AH792" i="7"/>
  <c r="AJ792" i="7" s="1"/>
  <c r="T793" i="7"/>
  <c r="U793" i="7"/>
  <c r="X793" i="7"/>
  <c r="AH793" i="7"/>
  <c r="AJ793" i="7" s="1"/>
  <c r="AI793" i="7"/>
  <c r="T794" i="7"/>
  <c r="U794" i="7"/>
  <c r="X794" i="7"/>
  <c r="AH794" i="7"/>
  <c r="AJ794" i="7" s="1"/>
  <c r="AI794" i="7"/>
  <c r="T795" i="7"/>
  <c r="U795" i="7"/>
  <c r="X795" i="7"/>
  <c r="AH795" i="7"/>
  <c r="AJ795" i="7" s="1"/>
  <c r="T796" i="7"/>
  <c r="U796" i="7"/>
  <c r="X796" i="7"/>
  <c r="AH796" i="7"/>
  <c r="AJ796" i="7" s="1"/>
  <c r="AI796" i="7"/>
  <c r="T797" i="7"/>
  <c r="U797" i="7"/>
  <c r="X797" i="7"/>
  <c r="AH797" i="7"/>
  <c r="AJ797" i="7" s="1"/>
  <c r="T798" i="7"/>
  <c r="U798" i="7"/>
  <c r="X798" i="7"/>
  <c r="AH798" i="7"/>
  <c r="AJ798" i="7" s="1"/>
  <c r="AI798" i="7"/>
  <c r="T799" i="7"/>
  <c r="U799" i="7"/>
  <c r="X799" i="7"/>
  <c r="AH799" i="7"/>
  <c r="AJ799" i="7" s="1"/>
  <c r="T800" i="7"/>
  <c r="U800" i="7"/>
  <c r="X800" i="7"/>
  <c r="AH800" i="7"/>
  <c r="AJ800" i="7" s="1"/>
  <c r="AI800" i="7"/>
  <c r="T801" i="7"/>
  <c r="U801" i="7"/>
  <c r="X801" i="7"/>
  <c r="AH801" i="7"/>
  <c r="AJ801" i="7" s="1"/>
  <c r="T802" i="7"/>
  <c r="U802" i="7"/>
  <c r="X802" i="7"/>
  <c r="AH802" i="7"/>
  <c r="AJ802" i="7" s="1"/>
  <c r="AI802" i="7"/>
  <c r="T803" i="7"/>
  <c r="U803" i="7"/>
  <c r="X803" i="7"/>
  <c r="AH803" i="7"/>
  <c r="AJ803" i="7" s="1"/>
  <c r="T804" i="7"/>
  <c r="U804" i="7"/>
  <c r="X804" i="7"/>
  <c r="AH804" i="7"/>
  <c r="AJ804" i="7" s="1"/>
  <c r="AI804" i="7"/>
  <c r="T805" i="7"/>
  <c r="U805" i="7"/>
  <c r="X805" i="7"/>
  <c r="AH805" i="7"/>
  <c r="AJ805" i="7" s="1"/>
  <c r="T806" i="7"/>
  <c r="U806" i="7"/>
  <c r="X806" i="7"/>
  <c r="AH806" i="7"/>
  <c r="AJ806" i="7" s="1"/>
  <c r="AI806" i="7"/>
  <c r="T807" i="7"/>
  <c r="U807" i="7"/>
  <c r="X807" i="7"/>
  <c r="AH807" i="7"/>
  <c r="AJ807" i="7" s="1"/>
  <c r="T808" i="7"/>
  <c r="U808" i="7"/>
  <c r="X808" i="7"/>
  <c r="AH808" i="7"/>
  <c r="AJ808" i="7" s="1"/>
  <c r="AI808" i="7"/>
  <c r="T809" i="7"/>
  <c r="U809" i="7"/>
  <c r="X809" i="7"/>
  <c r="AH809" i="7"/>
  <c r="AJ809" i="7" s="1"/>
  <c r="T810" i="7"/>
  <c r="U810" i="7"/>
  <c r="X810" i="7"/>
  <c r="AH810" i="7"/>
  <c r="AJ810" i="7" s="1"/>
  <c r="AI810" i="7"/>
  <c r="T811" i="7"/>
  <c r="U811" i="7"/>
  <c r="X811" i="7"/>
  <c r="AH811" i="7"/>
  <c r="AJ811" i="7" s="1"/>
  <c r="T812" i="7"/>
  <c r="U812" i="7"/>
  <c r="X812" i="7"/>
  <c r="AH812" i="7"/>
  <c r="AJ812" i="7" s="1"/>
  <c r="AI812" i="7"/>
  <c r="T813" i="7"/>
  <c r="U813" i="7"/>
  <c r="X813" i="7"/>
  <c r="AH813" i="7"/>
  <c r="AJ813" i="7" s="1"/>
  <c r="T814" i="7"/>
  <c r="U814" i="7"/>
  <c r="X814" i="7"/>
  <c r="AH814" i="7"/>
  <c r="AJ814" i="7" s="1"/>
  <c r="AI814" i="7"/>
  <c r="T815" i="7"/>
  <c r="U815" i="7"/>
  <c r="X815" i="7"/>
  <c r="AH815" i="7"/>
  <c r="AJ815" i="7" s="1"/>
  <c r="T816" i="7"/>
  <c r="U816" i="7"/>
  <c r="X816" i="7"/>
  <c r="AH816" i="7"/>
  <c r="AJ816" i="7" s="1"/>
  <c r="AI816" i="7"/>
  <c r="T817" i="7"/>
  <c r="U817" i="7"/>
  <c r="X817" i="7"/>
  <c r="AH817" i="7"/>
  <c r="AJ817" i="7" s="1"/>
  <c r="T818" i="7"/>
  <c r="U818" i="7"/>
  <c r="X818" i="7"/>
  <c r="AH818" i="7"/>
  <c r="AJ818" i="7" s="1"/>
  <c r="AI818" i="7"/>
  <c r="T819" i="7"/>
  <c r="U819" i="7"/>
  <c r="X819" i="7"/>
  <c r="AH819" i="7"/>
  <c r="AJ819" i="7" s="1"/>
  <c r="T820" i="7"/>
  <c r="U820" i="7"/>
  <c r="X820" i="7"/>
  <c r="AH820" i="7"/>
  <c r="AJ820" i="7" s="1"/>
  <c r="AI820" i="7"/>
  <c r="T821" i="7"/>
  <c r="U821" i="7"/>
  <c r="X821" i="7"/>
  <c r="AH821" i="7"/>
  <c r="AJ821" i="7" s="1"/>
  <c r="T822" i="7"/>
  <c r="U822" i="7"/>
  <c r="X822" i="7"/>
  <c r="AH822" i="7"/>
  <c r="AJ822" i="7" s="1"/>
  <c r="AI822" i="7"/>
  <c r="T823" i="7"/>
  <c r="U823" i="7"/>
  <c r="X823" i="7"/>
  <c r="AH823" i="7"/>
  <c r="AJ823" i="7" s="1"/>
  <c r="T824" i="7"/>
  <c r="U824" i="7"/>
  <c r="X824" i="7"/>
  <c r="AH824" i="7"/>
  <c r="AJ824" i="7" s="1"/>
  <c r="AI824" i="7"/>
  <c r="T825" i="7"/>
  <c r="U825" i="7"/>
  <c r="X825" i="7"/>
  <c r="AH825" i="7"/>
  <c r="AJ825" i="7" s="1"/>
  <c r="T826" i="7"/>
  <c r="U826" i="7"/>
  <c r="X826" i="7"/>
  <c r="AH826" i="7"/>
  <c r="AJ826" i="7" s="1"/>
  <c r="AI826" i="7"/>
  <c r="T827" i="7"/>
  <c r="U827" i="7"/>
  <c r="X827" i="7"/>
  <c r="AH827" i="7"/>
  <c r="AJ827" i="7" s="1"/>
  <c r="T828" i="7"/>
  <c r="U828" i="7"/>
  <c r="X828" i="7"/>
  <c r="AH828" i="7"/>
  <c r="AJ828" i="7" s="1"/>
  <c r="AI828" i="7"/>
  <c r="T829" i="7"/>
  <c r="U829" i="7"/>
  <c r="X829" i="7"/>
  <c r="AH829" i="7"/>
  <c r="AJ829" i="7" s="1"/>
  <c r="T830" i="7"/>
  <c r="U830" i="7"/>
  <c r="X830" i="7"/>
  <c r="AH830" i="7"/>
  <c r="AJ830" i="7" s="1"/>
  <c r="AI830" i="7"/>
  <c r="T831" i="7"/>
  <c r="U831" i="7"/>
  <c r="X831" i="7"/>
  <c r="AH831" i="7"/>
  <c r="AJ831" i="7" s="1"/>
  <c r="T832" i="7"/>
  <c r="U832" i="7"/>
  <c r="X832" i="7"/>
  <c r="AH832" i="7"/>
  <c r="AJ832" i="7" s="1"/>
  <c r="AI832" i="7"/>
  <c r="T833" i="7"/>
  <c r="U833" i="7"/>
  <c r="X833" i="7"/>
  <c r="AH833" i="7"/>
  <c r="AJ833" i="7" s="1"/>
  <c r="T834" i="7"/>
  <c r="U834" i="7"/>
  <c r="X834" i="7"/>
  <c r="AH834" i="7"/>
  <c r="AJ834" i="7" s="1"/>
  <c r="AI834" i="7"/>
  <c r="T835" i="7"/>
  <c r="U835" i="7"/>
  <c r="X835" i="7"/>
  <c r="AH835" i="7"/>
  <c r="AJ835" i="7" s="1"/>
  <c r="T836" i="7"/>
  <c r="U836" i="7"/>
  <c r="X836" i="7"/>
  <c r="AH836" i="7"/>
  <c r="AJ836" i="7" s="1"/>
  <c r="AI836" i="7"/>
  <c r="T837" i="7"/>
  <c r="U837" i="7"/>
  <c r="X837" i="7"/>
  <c r="AH837" i="7"/>
  <c r="AJ837" i="7" s="1"/>
  <c r="T838" i="7"/>
  <c r="U838" i="7"/>
  <c r="X838" i="7"/>
  <c r="AH838" i="7"/>
  <c r="AJ838" i="7" s="1"/>
  <c r="AI838" i="7"/>
  <c r="T839" i="7"/>
  <c r="U839" i="7"/>
  <c r="X839" i="7"/>
  <c r="AH839" i="7"/>
  <c r="AJ839" i="7" s="1"/>
  <c r="T840" i="7"/>
  <c r="U840" i="7"/>
  <c r="X840" i="7"/>
  <c r="AH840" i="7"/>
  <c r="AJ840" i="7" s="1"/>
  <c r="AI840" i="7"/>
  <c r="T841" i="7"/>
  <c r="U841" i="7"/>
  <c r="X841" i="7"/>
  <c r="AH841" i="7"/>
  <c r="AJ841" i="7" s="1"/>
  <c r="T842" i="7"/>
  <c r="U842" i="7"/>
  <c r="X842" i="7"/>
  <c r="AH842" i="7"/>
  <c r="AJ842" i="7" s="1"/>
  <c r="AI842" i="7"/>
  <c r="T843" i="7"/>
  <c r="U843" i="7"/>
  <c r="X843" i="7"/>
  <c r="AH843" i="7"/>
  <c r="AJ843" i="7" s="1"/>
  <c r="T844" i="7"/>
  <c r="U844" i="7"/>
  <c r="X844" i="7"/>
  <c r="AH844" i="7"/>
  <c r="AJ844" i="7" s="1"/>
  <c r="AI844" i="7"/>
  <c r="T845" i="7"/>
  <c r="U845" i="7"/>
  <c r="X845" i="7"/>
  <c r="AH845" i="7"/>
  <c r="AJ845" i="7" s="1"/>
  <c r="T846" i="7"/>
  <c r="U846" i="7"/>
  <c r="X846" i="7"/>
  <c r="AH846" i="7"/>
  <c r="AJ846" i="7" s="1"/>
  <c r="AI846" i="7"/>
  <c r="T847" i="7"/>
  <c r="U847" i="7"/>
  <c r="X847" i="7"/>
  <c r="AH847" i="7"/>
  <c r="AJ847" i="7" s="1"/>
  <c r="T848" i="7"/>
  <c r="U848" i="7"/>
  <c r="X848" i="7"/>
  <c r="AH848" i="7"/>
  <c r="AJ848" i="7" s="1"/>
  <c r="AI848" i="7"/>
  <c r="T849" i="7"/>
  <c r="U849" i="7"/>
  <c r="X849" i="7"/>
  <c r="AH849" i="7"/>
  <c r="AJ849" i="7" s="1"/>
  <c r="T850" i="7"/>
  <c r="U850" i="7"/>
  <c r="X850" i="7"/>
  <c r="AH850" i="7"/>
  <c r="AJ850" i="7" s="1"/>
  <c r="AI850" i="7"/>
  <c r="T851" i="7"/>
  <c r="U851" i="7"/>
  <c r="X851" i="7"/>
  <c r="AH851" i="7"/>
  <c r="AJ851" i="7" s="1"/>
  <c r="T852" i="7"/>
  <c r="U852" i="7"/>
  <c r="X852" i="7"/>
  <c r="AH852" i="7"/>
  <c r="AJ852" i="7" s="1"/>
  <c r="AI852" i="7"/>
  <c r="T853" i="7"/>
  <c r="U853" i="7"/>
  <c r="X853" i="7"/>
  <c r="AH853" i="7"/>
  <c r="AJ853" i="7" s="1"/>
  <c r="T854" i="7"/>
  <c r="U854" i="7"/>
  <c r="X854" i="7"/>
  <c r="AH854" i="7"/>
  <c r="AJ854" i="7" s="1"/>
  <c r="AI854" i="7"/>
  <c r="T855" i="7"/>
  <c r="U855" i="7"/>
  <c r="X855" i="7"/>
  <c r="AH855" i="7"/>
  <c r="AJ855" i="7" s="1"/>
  <c r="T856" i="7"/>
  <c r="U856" i="7"/>
  <c r="X856" i="7"/>
  <c r="AH856" i="7"/>
  <c r="AJ856" i="7" s="1"/>
  <c r="AI856" i="7"/>
  <c r="T857" i="7"/>
  <c r="U857" i="7"/>
  <c r="X857" i="7"/>
  <c r="AH857" i="7"/>
  <c r="AJ857" i="7" s="1"/>
  <c r="T858" i="7"/>
  <c r="U858" i="7"/>
  <c r="X858" i="7"/>
  <c r="AH858" i="7"/>
  <c r="AJ858" i="7" s="1"/>
  <c r="AI858" i="7"/>
  <c r="T859" i="7"/>
  <c r="U859" i="7"/>
  <c r="X859" i="7"/>
  <c r="AH859" i="7"/>
  <c r="AJ859" i="7" s="1"/>
  <c r="T860" i="7"/>
  <c r="U860" i="7"/>
  <c r="X860" i="7"/>
  <c r="AH860" i="7"/>
  <c r="AJ860" i="7" s="1"/>
  <c r="AI860" i="7"/>
  <c r="T861" i="7"/>
  <c r="U861" i="7"/>
  <c r="X861" i="7"/>
  <c r="AH861" i="7"/>
  <c r="AJ861" i="7" s="1"/>
  <c r="T862" i="7"/>
  <c r="U862" i="7"/>
  <c r="X862" i="7"/>
  <c r="AH862" i="7"/>
  <c r="AJ862" i="7" s="1"/>
  <c r="AI862" i="7"/>
  <c r="T863" i="7"/>
  <c r="U863" i="7"/>
  <c r="X863" i="7"/>
  <c r="AH863" i="7"/>
  <c r="AJ863" i="7" s="1"/>
  <c r="T864" i="7"/>
  <c r="U864" i="7"/>
  <c r="X864" i="7"/>
  <c r="AH864" i="7"/>
  <c r="AJ864" i="7" s="1"/>
  <c r="AI864" i="7"/>
  <c r="T865" i="7"/>
  <c r="U865" i="7"/>
  <c r="X865" i="7"/>
  <c r="AH865" i="7"/>
  <c r="AJ865" i="7" s="1"/>
  <c r="T866" i="7"/>
  <c r="U866" i="7"/>
  <c r="X866" i="7"/>
  <c r="AH866" i="7"/>
  <c r="AJ866" i="7" s="1"/>
  <c r="AI866" i="7"/>
  <c r="T867" i="7"/>
  <c r="U867" i="7"/>
  <c r="X867" i="7"/>
  <c r="AH867" i="7"/>
  <c r="AJ867" i="7" s="1"/>
  <c r="T868" i="7"/>
  <c r="U868" i="7"/>
  <c r="X868" i="7"/>
  <c r="AH868" i="7"/>
  <c r="AJ868" i="7" s="1"/>
  <c r="AI868" i="7"/>
  <c r="T869" i="7"/>
  <c r="U869" i="7"/>
  <c r="X869" i="7"/>
  <c r="AH869" i="7"/>
  <c r="AJ869" i="7" s="1"/>
  <c r="T870" i="7"/>
  <c r="U870" i="7"/>
  <c r="X870" i="7"/>
  <c r="AH870" i="7"/>
  <c r="AJ870" i="7" s="1"/>
  <c r="AI870" i="7"/>
  <c r="T871" i="7"/>
  <c r="U871" i="7"/>
  <c r="X871" i="7"/>
  <c r="AH871" i="7"/>
  <c r="AJ871" i="7" s="1"/>
  <c r="T872" i="7"/>
  <c r="U872" i="7"/>
  <c r="X872" i="7"/>
  <c r="AH872" i="7"/>
  <c r="AJ872" i="7" s="1"/>
  <c r="AI872" i="7"/>
  <c r="T873" i="7"/>
  <c r="U873" i="7"/>
  <c r="X873" i="7"/>
  <c r="AH873" i="7"/>
  <c r="AJ873" i="7" s="1"/>
  <c r="T874" i="7"/>
  <c r="U874" i="7"/>
  <c r="X874" i="7"/>
  <c r="AH874" i="7"/>
  <c r="AJ874" i="7" s="1"/>
  <c r="AI874" i="7"/>
  <c r="T875" i="7"/>
  <c r="U875" i="7"/>
  <c r="X875" i="7"/>
  <c r="AH875" i="7"/>
  <c r="AJ875" i="7" s="1"/>
  <c r="T876" i="7"/>
  <c r="U876" i="7"/>
  <c r="X876" i="7"/>
  <c r="AH876" i="7"/>
  <c r="AJ876" i="7" s="1"/>
  <c r="AI876" i="7"/>
  <c r="T877" i="7"/>
  <c r="U877" i="7"/>
  <c r="X877" i="7"/>
  <c r="AH877" i="7"/>
  <c r="AJ877" i="7" s="1"/>
  <c r="T878" i="7"/>
  <c r="U878" i="7"/>
  <c r="X878" i="7"/>
  <c r="AH878" i="7"/>
  <c r="AJ878" i="7" s="1"/>
  <c r="AI878" i="7"/>
  <c r="T879" i="7"/>
  <c r="U879" i="7"/>
  <c r="X879" i="7"/>
  <c r="AH879" i="7"/>
  <c r="AJ879" i="7" s="1"/>
  <c r="T880" i="7"/>
  <c r="U880" i="7"/>
  <c r="X880" i="7"/>
  <c r="AH880" i="7"/>
  <c r="AJ880" i="7" s="1"/>
  <c r="AI880" i="7"/>
  <c r="T881" i="7"/>
  <c r="U881" i="7"/>
  <c r="X881" i="7"/>
  <c r="AH881" i="7"/>
  <c r="AJ881" i="7" s="1"/>
  <c r="T882" i="7"/>
  <c r="U882" i="7"/>
  <c r="X882" i="7"/>
  <c r="AH882" i="7"/>
  <c r="AJ882" i="7" s="1"/>
  <c r="AI882" i="7"/>
  <c r="T883" i="7"/>
  <c r="U883" i="7"/>
  <c r="X883" i="7"/>
  <c r="AH883" i="7"/>
  <c r="AJ883" i="7" s="1"/>
  <c r="T884" i="7"/>
  <c r="U884" i="7"/>
  <c r="X884" i="7"/>
  <c r="AH884" i="7"/>
  <c r="AJ884" i="7" s="1"/>
  <c r="AI884" i="7"/>
  <c r="T885" i="7"/>
  <c r="U885" i="7"/>
  <c r="X885" i="7"/>
  <c r="AH885" i="7"/>
  <c r="AJ885" i="7" s="1"/>
  <c r="T886" i="7"/>
  <c r="U886" i="7"/>
  <c r="X886" i="7"/>
  <c r="AH886" i="7"/>
  <c r="AJ886" i="7" s="1"/>
  <c r="AI886" i="7"/>
  <c r="T887" i="7"/>
  <c r="U887" i="7"/>
  <c r="X887" i="7"/>
  <c r="AH887" i="7"/>
  <c r="AJ887" i="7" s="1"/>
  <c r="T888" i="7"/>
  <c r="U888" i="7"/>
  <c r="X888" i="7"/>
  <c r="AH888" i="7"/>
  <c r="AJ888" i="7" s="1"/>
  <c r="AI888" i="7"/>
  <c r="T889" i="7"/>
  <c r="U889" i="7"/>
  <c r="X889" i="7"/>
  <c r="AH889" i="7"/>
  <c r="AJ889" i="7" s="1"/>
  <c r="T890" i="7"/>
  <c r="U890" i="7"/>
  <c r="X890" i="7"/>
  <c r="AH890" i="7"/>
  <c r="AJ890" i="7" s="1"/>
  <c r="AI890" i="7"/>
  <c r="T891" i="7"/>
  <c r="U891" i="7"/>
  <c r="X891" i="7"/>
  <c r="AH891" i="7"/>
  <c r="AJ891" i="7" s="1"/>
  <c r="T892" i="7"/>
  <c r="U892" i="7"/>
  <c r="X892" i="7"/>
  <c r="AH892" i="7"/>
  <c r="AJ892" i="7" s="1"/>
  <c r="AI892" i="7"/>
  <c r="T893" i="7"/>
  <c r="U893" i="7"/>
  <c r="X893" i="7"/>
  <c r="AH893" i="7"/>
  <c r="AJ893" i="7" s="1"/>
  <c r="T894" i="7"/>
  <c r="U894" i="7"/>
  <c r="X894" i="7"/>
  <c r="AH894" i="7"/>
  <c r="AJ894" i="7" s="1"/>
  <c r="AI894" i="7"/>
  <c r="T895" i="7"/>
  <c r="U895" i="7"/>
  <c r="X895" i="7"/>
  <c r="AH895" i="7"/>
  <c r="AJ895" i="7" s="1"/>
  <c r="T896" i="7"/>
  <c r="U896" i="7"/>
  <c r="X896" i="7"/>
  <c r="AH896" i="7"/>
  <c r="AJ896" i="7" s="1"/>
  <c r="AI896" i="7"/>
  <c r="T897" i="7"/>
  <c r="U897" i="7"/>
  <c r="X897" i="7"/>
  <c r="AH897" i="7"/>
  <c r="AJ897" i="7" s="1"/>
  <c r="T898" i="7"/>
  <c r="U898" i="7"/>
  <c r="X898" i="7"/>
  <c r="AH898" i="7"/>
  <c r="AJ898" i="7" s="1"/>
  <c r="AI898" i="7"/>
  <c r="T899" i="7"/>
  <c r="U899" i="7"/>
  <c r="X899" i="7"/>
  <c r="AH899" i="7"/>
  <c r="AJ899" i="7" s="1"/>
  <c r="T900" i="7"/>
  <c r="U900" i="7"/>
  <c r="X900" i="7"/>
  <c r="AH900" i="7"/>
  <c r="AJ900" i="7" s="1"/>
  <c r="AI900" i="7"/>
  <c r="T901" i="7"/>
  <c r="U901" i="7"/>
  <c r="X901" i="7"/>
  <c r="AH901" i="7"/>
  <c r="AJ901" i="7" s="1"/>
  <c r="T902" i="7"/>
  <c r="U902" i="7"/>
  <c r="X902" i="7"/>
  <c r="AH902" i="7"/>
  <c r="AJ902" i="7" s="1"/>
  <c r="AI902" i="7"/>
  <c r="T903" i="7"/>
  <c r="U903" i="7"/>
  <c r="X903" i="7"/>
  <c r="AH903" i="7"/>
  <c r="AJ903" i="7" s="1"/>
  <c r="T904" i="7"/>
  <c r="U904" i="7"/>
  <c r="X904" i="7"/>
  <c r="AH904" i="7"/>
  <c r="AJ904" i="7" s="1"/>
  <c r="AI904" i="7"/>
  <c r="T905" i="7"/>
  <c r="U905" i="7"/>
  <c r="X905" i="7"/>
  <c r="AH905" i="7"/>
  <c r="AJ905" i="7" s="1"/>
  <c r="T906" i="7"/>
  <c r="U906" i="7"/>
  <c r="X906" i="7"/>
  <c r="AH906" i="7"/>
  <c r="AJ906" i="7" s="1"/>
  <c r="AI906" i="7"/>
  <c r="T907" i="7"/>
  <c r="U907" i="7"/>
  <c r="X907" i="7"/>
  <c r="AH907" i="7"/>
  <c r="AJ907" i="7" s="1"/>
  <c r="T908" i="7"/>
  <c r="U908" i="7"/>
  <c r="X908" i="7"/>
  <c r="AH908" i="7"/>
  <c r="AJ908" i="7" s="1"/>
  <c r="AI908" i="7"/>
  <c r="T909" i="7"/>
  <c r="U909" i="7"/>
  <c r="X909" i="7"/>
  <c r="AH909" i="7"/>
  <c r="AJ909" i="7" s="1"/>
  <c r="T910" i="7"/>
  <c r="U910" i="7"/>
  <c r="X910" i="7"/>
  <c r="AH910" i="7"/>
  <c r="AJ910" i="7" s="1"/>
  <c r="AI910" i="7"/>
  <c r="T911" i="7"/>
  <c r="U911" i="7"/>
  <c r="X911" i="7"/>
  <c r="AH911" i="7"/>
  <c r="AJ911" i="7" s="1"/>
  <c r="T912" i="7"/>
  <c r="U912" i="7"/>
  <c r="X912" i="7"/>
  <c r="AH912" i="7"/>
  <c r="AJ912" i="7" s="1"/>
  <c r="AI912" i="7"/>
  <c r="T913" i="7"/>
  <c r="U913" i="7"/>
  <c r="X913" i="7"/>
  <c r="AH913" i="7"/>
  <c r="AJ913" i="7" s="1"/>
  <c r="T914" i="7"/>
  <c r="U914" i="7"/>
  <c r="X914" i="7"/>
  <c r="AH914" i="7"/>
  <c r="AJ914" i="7" s="1"/>
  <c r="AI914" i="7"/>
  <c r="T915" i="7"/>
  <c r="U915" i="7"/>
  <c r="X915" i="7"/>
  <c r="AH915" i="7"/>
  <c r="AJ915" i="7" s="1"/>
  <c r="T916" i="7"/>
  <c r="U916" i="7"/>
  <c r="X916" i="7"/>
  <c r="AH916" i="7"/>
  <c r="AJ916" i="7" s="1"/>
  <c r="AI916" i="7"/>
  <c r="T917" i="7"/>
  <c r="U917" i="7"/>
  <c r="X917" i="7"/>
  <c r="AH917" i="7"/>
  <c r="AJ917" i="7" s="1"/>
  <c r="T918" i="7"/>
  <c r="U918" i="7"/>
  <c r="X918" i="7"/>
  <c r="AH918" i="7"/>
  <c r="AJ918" i="7" s="1"/>
  <c r="AI918" i="7"/>
  <c r="T919" i="7"/>
  <c r="U919" i="7"/>
  <c r="X919" i="7"/>
  <c r="AH919" i="7"/>
  <c r="AJ919" i="7" s="1"/>
  <c r="T920" i="7"/>
  <c r="U920" i="7"/>
  <c r="X920" i="7"/>
  <c r="AH920" i="7"/>
  <c r="AJ920" i="7" s="1"/>
  <c r="AI920" i="7"/>
  <c r="T921" i="7"/>
  <c r="U921" i="7"/>
  <c r="X921" i="7"/>
  <c r="AH921" i="7"/>
  <c r="AJ921" i="7" s="1"/>
  <c r="T922" i="7"/>
  <c r="U922" i="7"/>
  <c r="X922" i="7"/>
  <c r="AH922" i="7"/>
  <c r="AJ922" i="7" s="1"/>
  <c r="AI922" i="7"/>
  <c r="T923" i="7"/>
  <c r="U923" i="7"/>
  <c r="X923" i="7"/>
  <c r="AH923" i="7"/>
  <c r="AJ923" i="7" s="1"/>
  <c r="T924" i="7"/>
  <c r="U924" i="7"/>
  <c r="X924" i="7"/>
  <c r="AH924" i="7"/>
  <c r="AJ924" i="7" s="1"/>
  <c r="AI924" i="7"/>
  <c r="T925" i="7"/>
  <c r="U925" i="7"/>
  <c r="X925" i="7"/>
  <c r="AH925" i="7"/>
  <c r="AJ925" i="7" s="1"/>
  <c r="T926" i="7"/>
  <c r="U926" i="7"/>
  <c r="X926" i="7"/>
  <c r="AH926" i="7"/>
  <c r="AJ926" i="7" s="1"/>
  <c r="AI926" i="7"/>
  <c r="T927" i="7"/>
  <c r="U927" i="7"/>
  <c r="X927" i="7"/>
  <c r="AH927" i="7"/>
  <c r="AJ927" i="7" s="1"/>
  <c r="T928" i="7"/>
  <c r="U928" i="7"/>
  <c r="X928" i="7"/>
  <c r="AH928" i="7"/>
  <c r="AJ928" i="7" s="1"/>
  <c r="AI928" i="7"/>
  <c r="T929" i="7"/>
  <c r="U929" i="7"/>
  <c r="X929" i="7"/>
  <c r="AH929" i="7"/>
  <c r="AJ929" i="7" s="1"/>
  <c r="T930" i="7"/>
  <c r="U930" i="7"/>
  <c r="X930" i="7"/>
  <c r="AH930" i="7"/>
  <c r="AJ930" i="7" s="1"/>
  <c r="AI930" i="7"/>
  <c r="T931" i="7"/>
  <c r="U931" i="7"/>
  <c r="X931" i="7"/>
  <c r="AH931" i="7"/>
  <c r="AJ931" i="7" s="1"/>
  <c r="T932" i="7"/>
  <c r="U932" i="7"/>
  <c r="X932" i="7"/>
  <c r="AH932" i="7"/>
  <c r="AJ932" i="7" s="1"/>
  <c r="AI932" i="7"/>
  <c r="T933" i="7"/>
  <c r="U933" i="7"/>
  <c r="X933" i="7"/>
  <c r="AH933" i="7"/>
  <c r="AJ933" i="7" s="1"/>
  <c r="T934" i="7"/>
  <c r="U934" i="7"/>
  <c r="X934" i="7"/>
  <c r="AH934" i="7"/>
  <c r="AJ934" i="7" s="1"/>
  <c r="AI934" i="7"/>
  <c r="T935" i="7"/>
  <c r="U935" i="7"/>
  <c r="X935" i="7"/>
  <c r="AH935" i="7"/>
  <c r="AJ935" i="7" s="1"/>
  <c r="T936" i="7"/>
  <c r="U936" i="7"/>
  <c r="X936" i="7"/>
  <c r="AH936" i="7"/>
  <c r="AJ936" i="7" s="1"/>
  <c r="AI936" i="7"/>
  <c r="T937" i="7"/>
  <c r="U937" i="7"/>
  <c r="X937" i="7"/>
  <c r="AH937" i="7"/>
  <c r="AJ937" i="7" s="1"/>
  <c r="T938" i="7"/>
  <c r="U938" i="7"/>
  <c r="X938" i="7"/>
  <c r="AH938" i="7"/>
  <c r="AJ938" i="7" s="1"/>
  <c r="AI938" i="7"/>
  <c r="T939" i="7"/>
  <c r="U939" i="7"/>
  <c r="X939" i="7"/>
  <c r="AH939" i="7"/>
  <c r="AJ939" i="7" s="1"/>
  <c r="T940" i="7"/>
  <c r="U940" i="7"/>
  <c r="X940" i="7"/>
  <c r="AH940" i="7"/>
  <c r="AJ940" i="7" s="1"/>
  <c r="AI940" i="7"/>
  <c r="T941" i="7"/>
  <c r="U941" i="7"/>
  <c r="X941" i="7"/>
  <c r="AH941" i="7"/>
  <c r="AJ941" i="7" s="1"/>
  <c r="T942" i="7"/>
  <c r="U942" i="7"/>
  <c r="X942" i="7"/>
  <c r="AH942" i="7"/>
  <c r="AJ942" i="7" s="1"/>
  <c r="AI942" i="7"/>
  <c r="T943" i="7"/>
  <c r="U943" i="7"/>
  <c r="X943" i="7"/>
  <c r="AH943" i="7"/>
  <c r="AJ943" i="7" s="1"/>
  <c r="T944" i="7"/>
  <c r="U944" i="7"/>
  <c r="X944" i="7"/>
  <c r="AH944" i="7"/>
  <c r="AJ944" i="7" s="1"/>
  <c r="AI944" i="7"/>
  <c r="T945" i="7"/>
  <c r="U945" i="7"/>
  <c r="X945" i="7"/>
  <c r="AH945" i="7"/>
  <c r="AJ945" i="7" s="1"/>
  <c r="T946" i="7"/>
  <c r="U946" i="7"/>
  <c r="X946" i="7"/>
  <c r="AH946" i="7"/>
  <c r="AJ946" i="7" s="1"/>
  <c r="AI946" i="7"/>
  <c r="T947" i="7"/>
  <c r="U947" i="7"/>
  <c r="X947" i="7"/>
  <c r="AH947" i="7"/>
  <c r="AJ947" i="7" s="1"/>
  <c r="T948" i="7"/>
  <c r="U948" i="7"/>
  <c r="X948" i="7"/>
  <c r="AH948" i="7"/>
  <c r="AJ948" i="7" s="1"/>
  <c r="AI948" i="7"/>
  <c r="T949" i="7"/>
  <c r="U949" i="7"/>
  <c r="X949" i="7"/>
  <c r="AH949" i="7"/>
  <c r="AJ949" i="7" s="1"/>
  <c r="T950" i="7"/>
  <c r="U950" i="7"/>
  <c r="X950" i="7"/>
  <c r="AH950" i="7"/>
  <c r="AJ950" i="7" s="1"/>
  <c r="AI950" i="7"/>
  <c r="T951" i="7"/>
  <c r="U951" i="7"/>
  <c r="X951" i="7"/>
  <c r="AH951" i="7"/>
  <c r="AJ951" i="7" s="1"/>
  <c r="T952" i="7"/>
  <c r="U952" i="7"/>
  <c r="X952" i="7"/>
  <c r="AH952" i="7"/>
  <c r="AJ952" i="7" s="1"/>
  <c r="AI952" i="7"/>
  <c r="T953" i="7"/>
  <c r="U953" i="7"/>
  <c r="X953" i="7"/>
  <c r="AH953" i="7"/>
  <c r="AJ953" i="7" s="1"/>
  <c r="T954" i="7"/>
  <c r="U954" i="7"/>
  <c r="X954" i="7"/>
  <c r="AH954" i="7"/>
  <c r="AJ954" i="7" s="1"/>
  <c r="AI954" i="7"/>
  <c r="T955" i="7"/>
  <c r="U955" i="7"/>
  <c r="X955" i="7"/>
  <c r="AH955" i="7"/>
  <c r="AJ955" i="7" s="1"/>
  <c r="T956" i="7"/>
  <c r="U956" i="7"/>
  <c r="X956" i="7"/>
  <c r="AH956" i="7"/>
  <c r="AJ956" i="7" s="1"/>
  <c r="AI956" i="7"/>
  <c r="T957" i="7"/>
  <c r="U957" i="7"/>
  <c r="X957" i="7"/>
  <c r="AH957" i="7"/>
  <c r="AJ957" i="7" s="1"/>
  <c r="T958" i="7"/>
  <c r="U958" i="7"/>
  <c r="X958" i="7"/>
  <c r="AH958" i="7"/>
  <c r="AJ958" i="7" s="1"/>
  <c r="AI958" i="7"/>
  <c r="T959" i="7"/>
  <c r="U959" i="7"/>
  <c r="X959" i="7"/>
  <c r="AH959" i="7"/>
  <c r="AJ959" i="7" s="1"/>
  <c r="T960" i="7"/>
  <c r="U960" i="7"/>
  <c r="X960" i="7"/>
  <c r="AH960" i="7"/>
  <c r="AJ960" i="7" s="1"/>
  <c r="AI960" i="7"/>
  <c r="T961" i="7"/>
  <c r="U961" i="7"/>
  <c r="X961" i="7"/>
  <c r="AH961" i="7"/>
  <c r="AJ961" i="7" s="1"/>
  <c r="T962" i="7"/>
  <c r="U962" i="7"/>
  <c r="X962" i="7"/>
  <c r="AH962" i="7"/>
  <c r="AJ962" i="7" s="1"/>
  <c r="AI962" i="7"/>
  <c r="T963" i="7"/>
  <c r="U963" i="7"/>
  <c r="X963" i="7"/>
  <c r="AH963" i="7"/>
  <c r="AJ963" i="7" s="1"/>
  <c r="T964" i="7"/>
  <c r="U964" i="7"/>
  <c r="X964" i="7"/>
  <c r="AH964" i="7"/>
  <c r="AJ964" i="7" s="1"/>
  <c r="AI964" i="7"/>
  <c r="T965" i="7"/>
  <c r="U965" i="7"/>
  <c r="X965" i="7"/>
  <c r="AH965" i="7"/>
  <c r="AJ965" i="7" s="1"/>
  <c r="T966" i="7"/>
  <c r="U966" i="7"/>
  <c r="X966" i="7"/>
  <c r="AH966" i="7"/>
  <c r="AJ966" i="7" s="1"/>
  <c r="AI966" i="7"/>
  <c r="T967" i="7"/>
  <c r="U967" i="7"/>
  <c r="X967" i="7"/>
  <c r="AH967" i="7"/>
  <c r="AJ967" i="7" s="1"/>
  <c r="T968" i="7"/>
  <c r="U968" i="7"/>
  <c r="X968" i="7"/>
  <c r="AH968" i="7"/>
  <c r="AJ968" i="7" s="1"/>
  <c r="AI968" i="7"/>
  <c r="T969" i="7"/>
  <c r="U969" i="7"/>
  <c r="X969" i="7"/>
  <c r="AH969" i="7"/>
  <c r="AJ969" i="7" s="1"/>
  <c r="T970" i="7"/>
  <c r="U970" i="7"/>
  <c r="X970" i="7"/>
  <c r="AH970" i="7"/>
  <c r="AJ970" i="7" s="1"/>
  <c r="AI970" i="7"/>
  <c r="T971" i="7"/>
  <c r="U971" i="7"/>
  <c r="X971" i="7"/>
  <c r="AH971" i="7"/>
  <c r="AJ971" i="7" s="1"/>
  <c r="T972" i="7"/>
  <c r="U972" i="7"/>
  <c r="X972" i="7"/>
  <c r="AH972" i="7"/>
  <c r="AJ972" i="7" s="1"/>
  <c r="AI972" i="7"/>
  <c r="T973" i="7"/>
  <c r="U973" i="7"/>
  <c r="X973" i="7"/>
  <c r="AH973" i="7"/>
  <c r="AJ973" i="7" s="1"/>
  <c r="T974" i="7"/>
  <c r="U974" i="7"/>
  <c r="X974" i="7"/>
  <c r="AH974" i="7"/>
  <c r="AJ974" i="7" s="1"/>
  <c r="AI974" i="7"/>
  <c r="T975" i="7"/>
  <c r="U975" i="7"/>
  <c r="X975" i="7"/>
  <c r="AH975" i="7"/>
  <c r="AJ975" i="7" s="1"/>
  <c r="T976" i="7"/>
  <c r="U976" i="7"/>
  <c r="X976" i="7"/>
  <c r="AH976" i="7"/>
  <c r="AJ976" i="7" s="1"/>
  <c r="AI976" i="7"/>
  <c r="T977" i="7"/>
  <c r="U977" i="7"/>
  <c r="X977" i="7"/>
  <c r="AH977" i="7"/>
  <c r="AJ977" i="7" s="1"/>
  <c r="T978" i="7"/>
  <c r="U978" i="7"/>
  <c r="X978" i="7"/>
  <c r="AH978" i="7"/>
  <c r="AJ978" i="7" s="1"/>
  <c r="AI978" i="7"/>
  <c r="T979" i="7"/>
  <c r="U979" i="7"/>
  <c r="X979" i="7"/>
  <c r="AH979" i="7"/>
  <c r="AJ979" i="7" s="1"/>
  <c r="T980" i="7"/>
  <c r="U980" i="7"/>
  <c r="X980" i="7"/>
  <c r="AH980" i="7"/>
  <c r="AJ980" i="7" s="1"/>
  <c r="AI980" i="7"/>
  <c r="T981" i="7"/>
  <c r="U981" i="7"/>
  <c r="X981" i="7"/>
  <c r="AH981" i="7"/>
  <c r="AJ981" i="7" s="1"/>
  <c r="T982" i="7"/>
  <c r="U982" i="7"/>
  <c r="X982" i="7"/>
  <c r="AH982" i="7"/>
  <c r="AJ982" i="7" s="1"/>
  <c r="AI982" i="7"/>
  <c r="T983" i="7"/>
  <c r="U983" i="7"/>
  <c r="X983" i="7"/>
  <c r="AH983" i="7"/>
  <c r="AJ983" i="7" s="1"/>
  <c r="T984" i="7"/>
  <c r="U984" i="7"/>
  <c r="X984" i="7"/>
  <c r="AH984" i="7"/>
  <c r="AJ984" i="7" s="1"/>
  <c r="AI984" i="7"/>
  <c r="T985" i="7"/>
  <c r="U985" i="7"/>
  <c r="X985" i="7"/>
  <c r="AH985" i="7"/>
  <c r="AJ985" i="7" s="1"/>
  <c r="T986" i="7"/>
  <c r="U986" i="7"/>
  <c r="X986" i="7"/>
  <c r="AH986" i="7"/>
  <c r="AJ986" i="7" s="1"/>
  <c r="AI986" i="7"/>
  <c r="T987" i="7"/>
  <c r="U987" i="7"/>
  <c r="X987" i="7"/>
  <c r="AH987" i="7"/>
  <c r="AJ987" i="7" s="1"/>
  <c r="T988" i="7"/>
  <c r="U988" i="7"/>
  <c r="X988" i="7"/>
  <c r="AH988" i="7"/>
  <c r="AJ988" i="7" s="1"/>
  <c r="AI988" i="7"/>
  <c r="T989" i="7"/>
  <c r="U989" i="7"/>
  <c r="X989" i="7"/>
  <c r="AH989" i="7"/>
  <c r="AJ989" i="7" s="1"/>
  <c r="T990" i="7"/>
  <c r="U990" i="7"/>
  <c r="X990" i="7"/>
  <c r="AH990" i="7"/>
  <c r="AJ990" i="7" s="1"/>
  <c r="AI990" i="7"/>
  <c r="T991" i="7"/>
  <c r="U991" i="7"/>
  <c r="X991" i="7"/>
  <c r="AH991" i="7"/>
  <c r="AJ991" i="7" s="1"/>
  <c r="T992" i="7"/>
  <c r="U992" i="7"/>
  <c r="X992" i="7"/>
  <c r="AH992" i="7"/>
  <c r="AJ992" i="7" s="1"/>
  <c r="AI992" i="7"/>
  <c r="T993" i="7"/>
  <c r="U993" i="7"/>
  <c r="X993" i="7"/>
  <c r="AH993" i="7"/>
  <c r="AJ993" i="7" s="1"/>
  <c r="T994" i="7"/>
  <c r="U994" i="7"/>
  <c r="X994" i="7"/>
  <c r="AH994" i="7"/>
  <c r="AJ994" i="7" s="1"/>
  <c r="AI994" i="7"/>
  <c r="T995" i="7"/>
  <c r="U995" i="7"/>
  <c r="X995" i="7"/>
  <c r="AH995" i="7"/>
  <c r="AJ995" i="7" s="1"/>
  <c r="T996" i="7"/>
  <c r="U996" i="7"/>
  <c r="X996" i="7"/>
  <c r="AH996" i="7"/>
  <c r="AJ996" i="7" s="1"/>
  <c r="AI996" i="7"/>
  <c r="T997" i="7"/>
  <c r="U997" i="7"/>
  <c r="X997" i="7"/>
  <c r="AH997" i="7"/>
  <c r="AJ997" i="7" s="1"/>
  <c r="T998" i="7"/>
  <c r="U998" i="7"/>
  <c r="X998" i="7"/>
  <c r="AH998" i="7"/>
  <c r="AJ998" i="7" s="1"/>
  <c r="AI998" i="7"/>
  <c r="T999" i="7"/>
  <c r="U999" i="7"/>
  <c r="X999" i="7"/>
  <c r="AH999" i="7"/>
  <c r="AJ999" i="7" s="1"/>
  <c r="A1"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B5" i="2"/>
  <c r="B6" i="2"/>
  <c r="B7" i="2"/>
  <c r="B9" i="2"/>
  <c r="B10" i="2"/>
  <c r="B11" i="2"/>
  <c r="C13" i="2"/>
  <c r="C15" i="2"/>
  <c r="A1" i="1" s="1"/>
  <c r="C16" i="2"/>
  <c r="C17" i="2"/>
  <c r="C18" i="2"/>
  <c r="C20" i="2"/>
  <c r="C21" i="2"/>
  <c r="C23" i="2"/>
  <c r="C32" i="2"/>
  <c r="C47" i="2"/>
  <c r="C63" i="2"/>
  <c r="A70" i="2"/>
  <c r="C68" i="2" s="1"/>
  <c r="B70" i="2"/>
  <c r="B74" i="2"/>
  <c r="B75" i="2"/>
  <c r="B85" i="2"/>
  <c r="B87" i="2"/>
  <c r="B22" i="1"/>
  <c r="AJ790" i="7" l="1"/>
  <c r="AI790" i="7"/>
  <c r="AJ774" i="7"/>
  <c r="AI774" i="7"/>
  <c r="AJ758" i="7"/>
  <c r="AI758" i="7"/>
  <c r="AJ742" i="7"/>
  <c r="AI742" i="7"/>
  <c r="AJ734" i="7"/>
  <c r="AI734" i="7"/>
  <c r="AJ726" i="7"/>
  <c r="AI726" i="7"/>
  <c r="AJ594" i="7"/>
  <c r="AI594" i="7"/>
  <c r="AJ592" i="7"/>
  <c r="AI592" i="7"/>
  <c r="AJ562" i="7"/>
  <c r="AI562" i="7"/>
  <c r="AJ560" i="7"/>
  <c r="AI560" i="7"/>
  <c r="AJ533" i="7"/>
  <c r="AI533" i="7"/>
  <c r="AJ31" i="7"/>
  <c r="AI31" i="7"/>
  <c r="AI997" i="7"/>
  <c r="AI993" i="7"/>
  <c r="AI989" i="7"/>
  <c r="AI985" i="7"/>
  <c r="AI981" i="7"/>
  <c r="AI977" i="7"/>
  <c r="AI973" i="7"/>
  <c r="AI969" i="7"/>
  <c r="AI965" i="7"/>
  <c r="AI961" i="7"/>
  <c r="AI957" i="7"/>
  <c r="AI953" i="7"/>
  <c r="AI949" i="7"/>
  <c r="AI945" i="7"/>
  <c r="AI941" i="7"/>
  <c r="AI937" i="7"/>
  <c r="AI933" i="7"/>
  <c r="AI929" i="7"/>
  <c r="AI925" i="7"/>
  <c r="AI921" i="7"/>
  <c r="AI917" i="7"/>
  <c r="AI913" i="7"/>
  <c r="AI909" i="7"/>
  <c r="AI905" i="7"/>
  <c r="AI901" i="7"/>
  <c r="AI897" i="7"/>
  <c r="AI893" i="7"/>
  <c r="AI889" i="7"/>
  <c r="AI885" i="7"/>
  <c r="AI881" i="7"/>
  <c r="AI877" i="7"/>
  <c r="AI873" i="7"/>
  <c r="AI869" i="7"/>
  <c r="AI865" i="7"/>
  <c r="AI861" i="7"/>
  <c r="AI857" i="7"/>
  <c r="AI853" i="7"/>
  <c r="AI849" i="7"/>
  <c r="AI845" i="7"/>
  <c r="AI841" i="7"/>
  <c r="AI837" i="7"/>
  <c r="AI833" i="7"/>
  <c r="AI829" i="7"/>
  <c r="AI825" i="7"/>
  <c r="AI821" i="7"/>
  <c r="AI817" i="7"/>
  <c r="AI813" i="7"/>
  <c r="AI809" i="7"/>
  <c r="AI805" i="7"/>
  <c r="AI801" i="7"/>
  <c r="AI797" i="7"/>
  <c r="AI791" i="7"/>
  <c r="AJ786" i="7"/>
  <c r="AI786" i="7"/>
  <c r="AI784" i="7"/>
  <c r="AI775" i="7"/>
  <c r="AJ770" i="7"/>
  <c r="AI770" i="7"/>
  <c r="AI768" i="7"/>
  <c r="AI759" i="7"/>
  <c r="AJ754" i="7"/>
  <c r="AI754" i="7"/>
  <c r="AI752" i="7"/>
  <c r="AJ736" i="7"/>
  <c r="AI736" i="7"/>
  <c r="AJ728" i="7"/>
  <c r="AI728" i="7"/>
  <c r="AJ601" i="7"/>
  <c r="AI601" i="7"/>
  <c r="AJ569" i="7"/>
  <c r="AI569" i="7"/>
  <c r="AJ517" i="7"/>
  <c r="AI517" i="7"/>
  <c r="AJ508" i="7"/>
  <c r="AI508" i="7"/>
  <c r="AJ476" i="7"/>
  <c r="AI476" i="7"/>
  <c r="AJ444" i="7"/>
  <c r="AI444" i="7"/>
  <c r="AJ412" i="7"/>
  <c r="AI412" i="7"/>
  <c r="AJ380" i="7"/>
  <c r="AI380" i="7"/>
  <c r="AJ348" i="7"/>
  <c r="AI348" i="7"/>
  <c r="AJ316" i="7"/>
  <c r="AI316" i="7"/>
  <c r="AJ284" i="7"/>
  <c r="AI284" i="7"/>
  <c r="AJ252" i="7"/>
  <c r="AI252" i="7"/>
  <c r="AJ220" i="7"/>
  <c r="AI220" i="7"/>
  <c r="AJ188" i="7"/>
  <c r="AI188" i="7"/>
  <c r="AJ156" i="7"/>
  <c r="AI156" i="7"/>
  <c r="AJ124" i="7"/>
  <c r="AI124" i="7"/>
  <c r="AJ92" i="7"/>
  <c r="AI92" i="7"/>
  <c r="AJ60" i="7"/>
  <c r="AI60" i="7"/>
  <c r="AJ782" i="7"/>
  <c r="AI782" i="7"/>
  <c r="AJ766" i="7"/>
  <c r="AI766" i="7"/>
  <c r="AJ750" i="7"/>
  <c r="AI750" i="7"/>
  <c r="AJ738" i="7"/>
  <c r="AI738" i="7"/>
  <c r="AJ730" i="7"/>
  <c r="AI730" i="7"/>
  <c r="AJ610" i="7"/>
  <c r="AI610" i="7"/>
  <c r="AJ608" i="7"/>
  <c r="AI608" i="7"/>
  <c r="AJ578" i="7"/>
  <c r="AI578" i="7"/>
  <c r="AJ576" i="7"/>
  <c r="AI576" i="7"/>
  <c r="AJ549" i="7"/>
  <c r="AI549" i="7"/>
  <c r="AJ544" i="7"/>
  <c r="AI544" i="7"/>
  <c r="AI999" i="7"/>
  <c r="AI995" i="7"/>
  <c r="AI991" i="7"/>
  <c r="AI987" i="7"/>
  <c r="AI983" i="7"/>
  <c r="AI979" i="7"/>
  <c r="AI975" i="7"/>
  <c r="AI971" i="7"/>
  <c r="AI967" i="7"/>
  <c r="AI963" i="7"/>
  <c r="AI959" i="7"/>
  <c r="AI955" i="7"/>
  <c r="AI951" i="7"/>
  <c r="AI947" i="7"/>
  <c r="AI943" i="7"/>
  <c r="AI939" i="7"/>
  <c r="AI935" i="7"/>
  <c r="AI931" i="7"/>
  <c r="AI927" i="7"/>
  <c r="AI923" i="7"/>
  <c r="AI919" i="7"/>
  <c r="AI915" i="7"/>
  <c r="AI911" i="7"/>
  <c r="AI907" i="7"/>
  <c r="AI903" i="7"/>
  <c r="AI899" i="7"/>
  <c r="AI895" i="7"/>
  <c r="AI891" i="7"/>
  <c r="AI887" i="7"/>
  <c r="AI883" i="7"/>
  <c r="AI879" i="7"/>
  <c r="AI875" i="7"/>
  <c r="AI871" i="7"/>
  <c r="AI867" i="7"/>
  <c r="AI863" i="7"/>
  <c r="AI859" i="7"/>
  <c r="AI855" i="7"/>
  <c r="AI851" i="7"/>
  <c r="AI847" i="7"/>
  <c r="AI843" i="7"/>
  <c r="AI839" i="7"/>
  <c r="AI835" i="7"/>
  <c r="AI831" i="7"/>
  <c r="AI827" i="7"/>
  <c r="AI823" i="7"/>
  <c r="AI819" i="7"/>
  <c r="AI815" i="7"/>
  <c r="AI811" i="7"/>
  <c r="AI807" i="7"/>
  <c r="AI803" i="7"/>
  <c r="AI799" i="7"/>
  <c r="AI795" i="7"/>
  <c r="AI792" i="7"/>
  <c r="AI783" i="7"/>
  <c r="AJ778" i="7"/>
  <c r="AI778" i="7"/>
  <c r="AI776" i="7"/>
  <c r="AI767" i="7"/>
  <c r="AJ762" i="7"/>
  <c r="AI762" i="7"/>
  <c r="AI760" i="7"/>
  <c r="AI751" i="7"/>
  <c r="AJ746" i="7"/>
  <c r="AI746" i="7"/>
  <c r="AI744" i="7"/>
  <c r="AJ740" i="7"/>
  <c r="AI740" i="7"/>
  <c r="AJ732" i="7"/>
  <c r="AI732" i="7"/>
  <c r="AJ724" i="7"/>
  <c r="AI724" i="7"/>
  <c r="AJ720" i="7"/>
  <c r="AI720" i="7"/>
  <c r="AJ716" i="7"/>
  <c r="AI716" i="7"/>
  <c r="AJ712" i="7"/>
  <c r="AI712" i="7"/>
  <c r="AJ708" i="7"/>
  <c r="AI708" i="7"/>
  <c r="AJ704" i="7"/>
  <c r="AI704" i="7"/>
  <c r="AJ700" i="7"/>
  <c r="AI700" i="7"/>
  <c r="AJ696" i="7"/>
  <c r="AI696" i="7"/>
  <c r="AJ692" i="7"/>
  <c r="AI692" i="7"/>
  <c r="AJ688" i="7"/>
  <c r="AI688" i="7"/>
  <c r="AJ684" i="7"/>
  <c r="AI684" i="7"/>
  <c r="AJ680" i="7"/>
  <c r="AI680" i="7"/>
  <c r="AJ676" i="7"/>
  <c r="AI676" i="7"/>
  <c r="AJ672" i="7"/>
  <c r="AI672" i="7"/>
  <c r="AJ668" i="7"/>
  <c r="AI668" i="7"/>
  <c r="AJ664" i="7"/>
  <c r="AI664" i="7"/>
  <c r="AJ660" i="7"/>
  <c r="AI660" i="7"/>
  <c r="AJ656" i="7"/>
  <c r="AI656" i="7"/>
  <c r="AJ652" i="7"/>
  <c r="AI652" i="7"/>
  <c r="AJ648" i="7"/>
  <c r="AI648" i="7"/>
  <c r="AJ644" i="7"/>
  <c r="AI644" i="7"/>
  <c r="AJ640" i="7"/>
  <c r="AI640" i="7"/>
  <c r="AJ636" i="7"/>
  <c r="AI636" i="7"/>
  <c r="AJ632" i="7"/>
  <c r="AI632" i="7"/>
  <c r="AJ628" i="7"/>
  <c r="AI628" i="7"/>
  <c r="AJ624" i="7"/>
  <c r="AI624" i="7"/>
  <c r="AJ620" i="7"/>
  <c r="AI620" i="7"/>
  <c r="AJ616" i="7"/>
  <c r="AI616" i="7"/>
  <c r="AJ585" i="7"/>
  <c r="AI585" i="7"/>
  <c r="AJ553" i="7"/>
  <c r="AI553" i="7"/>
  <c r="AJ528" i="7"/>
  <c r="AI528" i="7"/>
  <c r="AJ492" i="7"/>
  <c r="AI492" i="7"/>
  <c r="AJ460" i="7"/>
  <c r="AI460" i="7"/>
  <c r="AJ428" i="7"/>
  <c r="AI428" i="7"/>
  <c r="AJ396" i="7"/>
  <c r="AI396" i="7"/>
  <c r="AJ364" i="7"/>
  <c r="AI364" i="7"/>
  <c r="AJ332" i="7"/>
  <c r="AI332" i="7"/>
  <c r="AJ300" i="7"/>
  <c r="AI300" i="7"/>
  <c r="AJ268" i="7"/>
  <c r="AI268" i="7"/>
  <c r="AJ236" i="7"/>
  <c r="AI236" i="7"/>
  <c r="AJ204" i="7"/>
  <c r="AI204" i="7"/>
  <c r="AJ172" i="7"/>
  <c r="AI172" i="7"/>
  <c r="AJ140" i="7"/>
  <c r="AI140" i="7"/>
  <c r="AJ108" i="7"/>
  <c r="AI108" i="7"/>
  <c r="AJ76" i="7"/>
  <c r="AI76" i="7"/>
  <c r="AI722" i="7"/>
  <c r="AI718" i="7"/>
  <c r="AI714" i="7"/>
  <c r="AI710" i="7"/>
  <c r="AI706" i="7"/>
  <c r="AI702" i="7"/>
  <c r="AI698" i="7"/>
  <c r="AI694" i="7"/>
  <c r="AI690" i="7"/>
  <c r="AI686" i="7"/>
  <c r="AI682" i="7"/>
  <c r="AI678" i="7"/>
  <c r="AI674" i="7"/>
  <c r="AI670" i="7"/>
  <c r="AI666" i="7"/>
  <c r="AI662" i="7"/>
  <c r="AI658" i="7"/>
  <c r="AI654" i="7"/>
  <c r="AI650" i="7"/>
  <c r="AI646" i="7"/>
  <c r="AI642" i="7"/>
  <c r="AI638" i="7"/>
  <c r="AI634" i="7"/>
  <c r="AI630" i="7"/>
  <c r="AI626" i="7"/>
  <c r="AI622" i="7"/>
  <c r="AI618" i="7"/>
  <c r="AI614" i="7"/>
  <c r="AI609" i="7"/>
  <c r="AJ604" i="7"/>
  <c r="AI604" i="7"/>
  <c r="AI602" i="7"/>
  <c r="AI593" i="7"/>
  <c r="AJ588" i="7"/>
  <c r="AI588" i="7"/>
  <c r="AI586" i="7"/>
  <c r="AI577" i="7"/>
  <c r="AJ572" i="7"/>
  <c r="AI572" i="7"/>
  <c r="AI570" i="7"/>
  <c r="AI561" i="7"/>
  <c r="AJ556" i="7"/>
  <c r="AI556" i="7"/>
  <c r="AI554" i="7"/>
  <c r="AJ548" i="7"/>
  <c r="AI548" i="7"/>
  <c r="AI541" i="7"/>
  <c r="AJ532" i="7"/>
  <c r="AI532" i="7"/>
  <c r="AI525" i="7"/>
  <c r="AJ516" i="7"/>
  <c r="AI516" i="7"/>
  <c r="AJ504" i="7"/>
  <c r="AI504" i="7"/>
  <c r="AJ488" i="7"/>
  <c r="AI488" i="7"/>
  <c r="AJ472" i="7"/>
  <c r="AI472" i="7"/>
  <c r="AJ456" i="7"/>
  <c r="AI456" i="7"/>
  <c r="AJ440" i="7"/>
  <c r="AI440" i="7"/>
  <c r="AJ424" i="7"/>
  <c r="AI424" i="7"/>
  <c r="AJ408" i="7"/>
  <c r="AI408" i="7"/>
  <c r="AJ392" i="7"/>
  <c r="AI392" i="7"/>
  <c r="AJ376" i="7"/>
  <c r="AI376" i="7"/>
  <c r="AJ360" i="7"/>
  <c r="AI360" i="7"/>
  <c r="AJ344" i="7"/>
  <c r="AI344" i="7"/>
  <c r="AJ328" i="7"/>
  <c r="AI328" i="7"/>
  <c r="AJ312" i="7"/>
  <c r="AI312" i="7"/>
  <c r="AJ296" i="7"/>
  <c r="AI296" i="7"/>
  <c r="AJ280" i="7"/>
  <c r="AI280" i="7"/>
  <c r="AJ264" i="7"/>
  <c r="AI264" i="7"/>
  <c r="AJ248" i="7"/>
  <c r="AI248" i="7"/>
  <c r="AJ232" i="7"/>
  <c r="AI232" i="7"/>
  <c r="AJ216" i="7"/>
  <c r="AI216" i="7"/>
  <c r="AJ200" i="7"/>
  <c r="AI200" i="7"/>
  <c r="AJ184" i="7"/>
  <c r="AI184" i="7"/>
  <c r="AJ168" i="7"/>
  <c r="AI168" i="7"/>
  <c r="AJ152" i="7"/>
  <c r="AI152" i="7"/>
  <c r="AJ136" i="7"/>
  <c r="AI136" i="7"/>
  <c r="AJ120" i="7"/>
  <c r="AI120" i="7"/>
  <c r="AJ104" i="7"/>
  <c r="AI104" i="7"/>
  <c r="AJ88" i="7"/>
  <c r="AI88" i="7"/>
  <c r="AJ72" i="7"/>
  <c r="AI72" i="7"/>
  <c r="AJ56" i="7"/>
  <c r="AI56" i="7"/>
  <c r="AJ43" i="7"/>
  <c r="AI43" i="7"/>
  <c r="AJ27" i="7"/>
  <c r="AI27" i="7"/>
  <c r="L52" i="9"/>
  <c r="N52" i="9"/>
  <c r="AJ600" i="7"/>
  <c r="AI600" i="7"/>
  <c r="AJ584" i="7"/>
  <c r="AI584" i="7"/>
  <c r="AJ568" i="7"/>
  <c r="AI568" i="7"/>
  <c r="AJ552" i="7"/>
  <c r="AI552" i="7"/>
  <c r="AJ536" i="7"/>
  <c r="AI536" i="7"/>
  <c r="AI529" i="7"/>
  <c r="AJ520" i="7"/>
  <c r="AI520" i="7"/>
  <c r="AJ500" i="7"/>
  <c r="AI500" i="7"/>
  <c r="AJ484" i="7"/>
  <c r="AI484" i="7"/>
  <c r="AJ468" i="7"/>
  <c r="AI468" i="7"/>
  <c r="AJ452" i="7"/>
  <c r="AI452" i="7"/>
  <c r="AJ436" i="7"/>
  <c r="AI436" i="7"/>
  <c r="AJ420" i="7"/>
  <c r="AI420" i="7"/>
  <c r="AJ404" i="7"/>
  <c r="AI404" i="7"/>
  <c r="AJ388" i="7"/>
  <c r="AI388" i="7"/>
  <c r="AJ372" i="7"/>
  <c r="AI372" i="7"/>
  <c r="AJ356" i="7"/>
  <c r="AI356" i="7"/>
  <c r="AJ340" i="7"/>
  <c r="AI340" i="7"/>
  <c r="AJ324" i="7"/>
  <c r="AI324" i="7"/>
  <c r="AJ308" i="7"/>
  <c r="AI308" i="7"/>
  <c r="AJ292" i="7"/>
  <c r="AI292" i="7"/>
  <c r="AJ276" i="7"/>
  <c r="AI276" i="7"/>
  <c r="AJ260" i="7"/>
  <c r="AI260" i="7"/>
  <c r="AJ244" i="7"/>
  <c r="AI244" i="7"/>
  <c r="AJ228" i="7"/>
  <c r="AI228" i="7"/>
  <c r="AJ212" i="7"/>
  <c r="AI212" i="7"/>
  <c r="AJ196" i="7"/>
  <c r="AI196" i="7"/>
  <c r="AJ180" i="7"/>
  <c r="AI180" i="7"/>
  <c r="AJ164" i="7"/>
  <c r="AI164" i="7"/>
  <c r="AJ148" i="7"/>
  <c r="AI148" i="7"/>
  <c r="AJ132" i="7"/>
  <c r="AI132" i="7"/>
  <c r="AJ116" i="7"/>
  <c r="AI116" i="7"/>
  <c r="AJ100" i="7"/>
  <c r="AI100" i="7"/>
  <c r="AJ84" i="7"/>
  <c r="AI84" i="7"/>
  <c r="AJ68" i="7"/>
  <c r="AI68" i="7"/>
  <c r="AJ52" i="7"/>
  <c r="AI52" i="7"/>
  <c r="AJ39" i="7"/>
  <c r="AI39" i="7"/>
  <c r="AJ23" i="7"/>
  <c r="AI23" i="7"/>
  <c r="AJ612" i="7"/>
  <c r="AI612" i="7"/>
  <c r="AJ596" i="7"/>
  <c r="AI596" i="7"/>
  <c r="AJ580" i="7"/>
  <c r="AI580" i="7"/>
  <c r="AJ564" i="7"/>
  <c r="AI564" i="7"/>
  <c r="AJ540" i="7"/>
  <c r="AI540" i="7"/>
  <c r="AJ524" i="7"/>
  <c r="AI524" i="7"/>
  <c r="AJ512" i="7"/>
  <c r="AI512" i="7"/>
  <c r="AJ496" i="7"/>
  <c r="AI496" i="7"/>
  <c r="AJ480" i="7"/>
  <c r="AI480" i="7"/>
  <c r="AJ464" i="7"/>
  <c r="AI464" i="7"/>
  <c r="AJ448" i="7"/>
  <c r="AI448" i="7"/>
  <c r="AJ432" i="7"/>
  <c r="AI432" i="7"/>
  <c r="AJ416" i="7"/>
  <c r="AI416" i="7"/>
  <c r="AJ400" i="7"/>
  <c r="AI400" i="7"/>
  <c r="AJ384" i="7"/>
  <c r="AI384" i="7"/>
  <c r="AJ368" i="7"/>
  <c r="AI368" i="7"/>
  <c r="AJ352" i="7"/>
  <c r="AI352" i="7"/>
  <c r="AJ336" i="7"/>
  <c r="AI336" i="7"/>
  <c r="AJ320" i="7"/>
  <c r="AI320" i="7"/>
  <c r="AJ304" i="7"/>
  <c r="AI304" i="7"/>
  <c r="AJ288" i="7"/>
  <c r="AI288" i="7"/>
  <c r="AJ272" i="7"/>
  <c r="AI272" i="7"/>
  <c r="AJ256" i="7"/>
  <c r="AI256" i="7"/>
  <c r="AJ240" i="7"/>
  <c r="AI240" i="7"/>
  <c r="AJ224" i="7"/>
  <c r="AI224" i="7"/>
  <c r="AJ208" i="7"/>
  <c r="AI208" i="7"/>
  <c r="AJ192" i="7"/>
  <c r="AI192" i="7"/>
  <c r="AJ176" i="7"/>
  <c r="AI176" i="7"/>
  <c r="AJ160" i="7"/>
  <c r="AI160" i="7"/>
  <c r="AJ144" i="7"/>
  <c r="AI144" i="7"/>
  <c r="AJ128" i="7"/>
  <c r="AI128" i="7"/>
  <c r="AJ112" i="7"/>
  <c r="AI112" i="7"/>
  <c r="AJ96" i="7"/>
  <c r="AI96" i="7"/>
  <c r="AJ80" i="7"/>
  <c r="AI80" i="7"/>
  <c r="AJ64" i="7"/>
  <c r="AI64" i="7"/>
  <c r="AJ35" i="7"/>
  <c r="AI35" i="7"/>
  <c r="AJ19" i="7"/>
  <c r="AI19" i="7"/>
  <c r="AB276" i="7"/>
  <c r="AC276" i="7"/>
  <c r="AA276" i="7"/>
  <c r="AD276" i="7"/>
  <c r="AD290" i="7"/>
  <c r="AB290" i="7"/>
  <c r="AA290" i="7"/>
  <c r="AC290" i="7"/>
  <c r="AB308" i="7"/>
  <c r="AC308" i="7"/>
  <c r="AA308" i="7"/>
  <c r="AD308" i="7"/>
  <c r="AD322" i="7"/>
  <c r="AB322" i="7"/>
  <c r="AA322" i="7"/>
  <c r="AC322" i="7"/>
  <c r="AB340" i="7"/>
  <c r="AC340" i="7"/>
  <c r="AA340" i="7"/>
  <c r="AD340" i="7"/>
  <c r="AC17" i="7"/>
  <c r="AB17" i="7"/>
  <c r="AD17" i="7"/>
  <c r="AC25" i="7"/>
  <c r="AB25" i="7"/>
  <c r="AD25" i="7"/>
  <c r="AC33" i="7"/>
  <c r="AB33" i="7"/>
  <c r="AD33" i="7"/>
  <c r="AC41" i="7"/>
  <c r="AB41" i="7"/>
  <c r="AD41" i="7"/>
  <c r="AC49" i="7"/>
  <c r="AB49" i="7"/>
  <c r="AD49" i="7"/>
  <c r="AC57" i="7"/>
  <c r="AB57" i="7"/>
  <c r="AD57" i="7"/>
  <c r="AC65" i="7"/>
  <c r="AB65" i="7"/>
  <c r="AD65" i="7"/>
  <c r="AC73" i="7"/>
  <c r="AB73" i="7"/>
  <c r="AD73" i="7"/>
  <c r="AC81" i="7"/>
  <c r="AB81" i="7"/>
  <c r="AD81" i="7"/>
  <c r="AC89" i="7"/>
  <c r="AB89" i="7"/>
  <c r="AD89" i="7"/>
  <c r="AC97" i="7"/>
  <c r="AB97" i="7"/>
  <c r="AD97" i="7"/>
  <c r="AC105" i="7"/>
  <c r="AB105" i="7"/>
  <c r="AD105" i="7"/>
  <c r="AC113" i="7"/>
  <c r="AB113" i="7"/>
  <c r="AD113" i="7"/>
  <c r="AC121" i="7"/>
  <c r="AB121" i="7"/>
  <c r="AD121" i="7"/>
  <c r="AC129" i="7"/>
  <c r="AB129" i="7"/>
  <c r="AD129" i="7"/>
  <c r="AC137" i="7"/>
  <c r="AB137" i="7"/>
  <c r="AD137" i="7"/>
  <c r="AC145" i="7"/>
  <c r="AB145" i="7"/>
  <c r="AD145" i="7"/>
  <c r="AC153" i="7"/>
  <c r="AB153" i="7"/>
  <c r="AD153" i="7"/>
  <c r="AC161" i="7"/>
  <c r="AB161" i="7"/>
  <c r="AD161" i="7"/>
  <c r="AC169" i="7"/>
  <c r="AB169" i="7"/>
  <c r="AD169" i="7"/>
  <c r="AC177" i="7"/>
  <c r="AB177" i="7"/>
  <c r="AD177" i="7"/>
  <c r="AC185" i="7"/>
  <c r="AB185" i="7"/>
  <c r="AD185" i="7"/>
  <c r="AC193" i="7"/>
  <c r="AB193" i="7"/>
  <c r="AD193" i="7"/>
  <c r="AC201" i="7"/>
  <c r="AB201" i="7"/>
  <c r="AD201" i="7"/>
  <c r="AC209" i="7"/>
  <c r="AB209" i="7"/>
  <c r="AD209" i="7"/>
  <c r="AC217" i="7"/>
  <c r="AB217" i="7"/>
  <c r="AD217" i="7"/>
  <c r="AC225" i="7"/>
  <c r="AB225" i="7"/>
  <c r="AD225" i="7"/>
  <c r="AC233" i="7"/>
  <c r="AB233" i="7"/>
  <c r="AD233" i="7"/>
  <c r="AC241" i="7"/>
  <c r="AB241" i="7"/>
  <c r="AD241" i="7"/>
  <c r="AC249" i="7"/>
  <c r="AB249" i="7"/>
  <c r="AD249" i="7"/>
  <c r="AC257" i="7"/>
  <c r="AB257" i="7"/>
  <c r="AD257" i="7"/>
  <c r="AC265" i="7"/>
  <c r="AB265" i="7"/>
  <c r="AD265" i="7"/>
  <c r="AC273" i="7"/>
  <c r="AB273" i="7"/>
  <c r="AD273" i="7"/>
  <c r="AC291" i="7"/>
  <c r="AB291" i="7"/>
  <c r="AA291" i="7"/>
  <c r="AD291" i="7"/>
  <c r="AC323" i="7"/>
  <c r="AB323" i="7"/>
  <c r="AA323" i="7"/>
  <c r="AD323" i="7"/>
  <c r="AB366" i="7"/>
  <c r="AD366" i="7"/>
  <c r="AA366" i="7"/>
  <c r="AC366" i="7"/>
  <c r="AD380" i="7"/>
  <c r="AB380" i="7"/>
  <c r="AA380" i="7"/>
  <c r="AC380" i="7"/>
  <c r="AC5" i="7"/>
  <c r="AB5" i="7"/>
  <c r="AD5" i="7"/>
  <c r="AD274" i="7"/>
  <c r="AB274" i="7"/>
  <c r="AA274" i="7"/>
  <c r="AC274" i="7"/>
  <c r="AB292" i="7"/>
  <c r="AC292" i="7"/>
  <c r="AA292" i="7"/>
  <c r="AD292" i="7"/>
  <c r="AD306" i="7"/>
  <c r="AB306" i="7"/>
  <c r="AA306" i="7"/>
  <c r="AC306" i="7"/>
  <c r="AB324" i="7"/>
  <c r="AC324" i="7"/>
  <c r="AA324" i="7"/>
  <c r="AD324" i="7"/>
  <c r="AD338" i="7"/>
  <c r="AB338" i="7"/>
  <c r="AA338" i="7"/>
  <c r="AC338" i="7"/>
  <c r="AC4" i="7"/>
  <c r="AC13" i="7"/>
  <c r="AB13" i="7"/>
  <c r="AD13" i="7"/>
  <c r="AC21" i="7"/>
  <c r="AB21" i="7"/>
  <c r="AD21" i="7"/>
  <c r="AC29" i="7"/>
  <c r="AB29" i="7"/>
  <c r="AD29" i="7"/>
  <c r="AC37" i="7"/>
  <c r="AB37" i="7"/>
  <c r="AD37" i="7"/>
  <c r="AC45" i="7"/>
  <c r="AB45" i="7"/>
  <c r="AD45" i="7"/>
  <c r="AC53" i="7"/>
  <c r="AB53" i="7"/>
  <c r="AD53" i="7"/>
  <c r="AC61" i="7"/>
  <c r="AB61" i="7"/>
  <c r="AD61" i="7"/>
  <c r="AC69" i="7"/>
  <c r="AB69" i="7"/>
  <c r="AD69" i="7"/>
  <c r="AC77" i="7"/>
  <c r="AB77" i="7"/>
  <c r="AD77" i="7"/>
  <c r="AC85" i="7"/>
  <c r="AB85" i="7"/>
  <c r="AD85" i="7"/>
  <c r="AC93" i="7"/>
  <c r="AB93" i="7"/>
  <c r="AD93" i="7"/>
  <c r="AC101" i="7"/>
  <c r="AB101" i="7"/>
  <c r="AD101" i="7"/>
  <c r="AC109" i="7"/>
  <c r="AB109" i="7"/>
  <c r="AD109" i="7"/>
  <c r="AC117" i="7"/>
  <c r="AB117" i="7"/>
  <c r="AD117" i="7"/>
  <c r="AC125" i="7"/>
  <c r="AB125" i="7"/>
  <c r="AD125" i="7"/>
  <c r="AC133" i="7"/>
  <c r="AB133" i="7"/>
  <c r="AD133" i="7"/>
  <c r="AC141" i="7"/>
  <c r="AB141" i="7"/>
  <c r="AD141" i="7"/>
  <c r="AC149" i="7"/>
  <c r="AB149" i="7"/>
  <c r="AD149" i="7"/>
  <c r="AC157" i="7"/>
  <c r="AB157" i="7"/>
  <c r="AD157" i="7"/>
  <c r="AC165" i="7"/>
  <c r="AB165" i="7"/>
  <c r="AD165" i="7"/>
  <c r="AC173" i="7"/>
  <c r="AB173" i="7"/>
  <c r="AD173" i="7"/>
  <c r="AC181" i="7"/>
  <c r="AB181" i="7"/>
  <c r="AD181" i="7"/>
  <c r="AC189" i="7"/>
  <c r="AB189" i="7"/>
  <c r="AD189" i="7"/>
  <c r="AC197" i="7"/>
  <c r="AB197" i="7"/>
  <c r="AD197" i="7"/>
  <c r="AC205" i="7"/>
  <c r="AB205" i="7"/>
  <c r="AD205" i="7"/>
  <c r="AC213" i="7"/>
  <c r="AB213" i="7"/>
  <c r="AD213" i="7"/>
  <c r="AC221" i="7"/>
  <c r="AB221" i="7"/>
  <c r="AD221" i="7"/>
  <c r="AC229" i="7"/>
  <c r="AB229" i="7"/>
  <c r="AD229" i="7"/>
  <c r="AC237" i="7"/>
  <c r="AB237" i="7"/>
  <c r="AD237" i="7"/>
  <c r="AC245" i="7"/>
  <c r="AB245" i="7"/>
  <c r="AD245" i="7"/>
  <c r="AC253" i="7"/>
  <c r="AB253" i="7"/>
  <c r="AD253" i="7"/>
  <c r="AC261" i="7"/>
  <c r="AB261" i="7"/>
  <c r="AD261" i="7"/>
  <c r="AC269" i="7"/>
  <c r="AB269" i="7"/>
  <c r="AD269" i="7"/>
  <c r="AC275" i="7"/>
  <c r="AB275" i="7"/>
  <c r="AA275" i="7"/>
  <c r="AD275" i="7"/>
  <c r="AC307" i="7"/>
  <c r="AB307" i="7"/>
  <c r="AA307" i="7"/>
  <c r="AD307" i="7"/>
  <c r="AC339" i="7"/>
  <c r="AB339" i="7"/>
  <c r="AA339" i="7"/>
  <c r="AD339" i="7"/>
  <c r="AD364" i="7"/>
  <c r="AB364" i="7"/>
  <c r="AA364" i="7"/>
  <c r="AC364" i="7"/>
  <c r="AB382" i="7"/>
  <c r="AD382" i="7"/>
  <c r="AA382" i="7"/>
  <c r="AC382" i="7"/>
  <c r="AC7" i="7"/>
  <c r="AC10" i="7"/>
  <c r="AC14" i="7"/>
  <c r="AC18" i="7"/>
  <c r="AC22" i="7"/>
  <c r="AC26" i="7"/>
  <c r="AC30" i="7"/>
  <c r="AC34" i="7"/>
  <c r="AC38" i="7"/>
  <c r="AC42" i="7"/>
  <c r="AC46" i="7"/>
  <c r="AC50" i="7"/>
  <c r="AC54" i="7"/>
  <c r="AC58" i="7"/>
  <c r="AC62" i="7"/>
  <c r="AC66" i="7"/>
  <c r="AC70" i="7"/>
  <c r="AC74" i="7"/>
  <c r="AC78" i="7"/>
  <c r="AC82" i="7"/>
  <c r="AC86" i="7"/>
  <c r="AC90" i="7"/>
  <c r="AC94" i="7"/>
  <c r="AC98" i="7"/>
  <c r="AC102" i="7"/>
  <c r="AC106" i="7"/>
  <c r="AC110" i="7"/>
  <c r="AC114" i="7"/>
  <c r="AC118" i="7"/>
  <c r="AC122" i="7"/>
  <c r="AC126" i="7"/>
  <c r="AC130" i="7"/>
  <c r="AC134" i="7"/>
  <c r="AC138" i="7"/>
  <c r="AC142" i="7"/>
  <c r="AC146" i="7"/>
  <c r="AC150" i="7"/>
  <c r="AC154" i="7"/>
  <c r="AC158" i="7"/>
  <c r="AC162" i="7"/>
  <c r="AC166" i="7"/>
  <c r="AC170" i="7"/>
  <c r="AC174" i="7"/>
  <c r="AC178" i="7"/>
  <c r="AC182" i="7"/>
  <c r="AC186" i="7"/>
  <c r="AC190" i="7"/>
  <c r="AC194" i="7"/>
  <c r="AC198" i="7"/>
  <c r="AC202" i="7"/>
  <c r="AC206" i="7"/>
  <c r="AC210" i="7"/>
  <c r="AC214" i="7"/>
  <c r="AC218" i="7"/>
  <c r="AC222" i="7"/>
  <c r="AC226" i="7"/>
  <c r="AC230" i="7"/>
  <c r="AC234" i="7"/>
  <c r="AC238" i="7"/>
  <c r="AC242" i="7"/>
  <c r="AC246" i="7"/>
  <c r="AC250" i="7"/>
  <c r="AC254" i="7"/>
  <c r="AC258" i="7"/>
  <c r="AC262" i="7"/>
  <c r="AC266" i="7"/>
  <c r="AC270" i="7"/>
  <c r="AB278" i="7"/>
  <c r="AB279" i="7"/>
  <c r="AC280" i="7"/>
  <c r="AA282" i="7"/>
  <c r="AA283" i="7"/>
  <c r="AA284" i="7"/>
  <c r="AB294" i="7"/>
  <c r="AB295" i="7"/>
  <c r="AC296" i="7"/>
  <c r="AA298" i="7"/>
  <c r="AA299" i="7"/>
  <c r="AA300" i="7"/>
  <c r="AB310" i="7"/>
  <c r="AB311" i="7"/>
  <c r="AC312" i="7"/>
  <c r="AA314" i="7"/>
  <c r="AA315" i="7"/>
  <c r="AA316" i="7"/>
  <c r="AB326" i="7"/>
  <c r="AB327" i="7"/>
  <c r="AC328" i="7"/>
  <c r="AA330" i="7"/>
  <c r="AA331" i="7"/>
  <c r="AA332" i="7"/>
  <c r="AB342" i="7"/>
  <c r="AB343" i="7"/>
  <c r="AC344" i="7"/>
  <c r="AA346" i="7"/>
  <c r="AA347" i="7"/>
  <c r="AA348" i="7"/>
  <c r="AB354" i="7"/>
  <c r="AD354" i="7"/>
  <c r="AD368" i="7"/>
  <c r="AB368" i="7"/>
  <c r="AB370" i="7"/>
  <c r="AD370" i="7"/>
  <c r="AD384" i="7"/>
  <c r="AB384" i="7"/>
  <c r="AB386" i="7"/>
  <c r="AD386" i="7"/>
  <c r="AD396" i="7"/>
  <c r="AC396" i="7"/>
  <c r="AB396" i="7"/>
  <c r="AD404" i="7"/>
  <c r="AC404" i="7"/>
  <c r="AB404" i="7"/>
  <c r="AD412" i="7"/>
  <c r="AC412" i="7"/>
  <c r="AB412" i="7"/>
  <c r="AD420" i="7"/>
  <c r="AC420" i="7"/>
  <c r="AB420" i="7"/>
  <c r="AD428" i="7"/>
  <c r="AC428" i="7"/>
  <c r="AB428" i="7"/>
  <c r="AD360" i="7"/>
  <c r="AB360" i="7"/>
  <c r="AB362" i="7"/>
  <c r="AD362" i="7"/>
  <c r="AD376" i="7"/>
  <c r="AB376" i="7"/>
  <c r="AB378" i="7"/>
  <c r="AD378" i="7"/>
  <c r="AD392" i="7"/>
  <c r="AB392" i="7"/>
  <c r="AB394" i="7"/>
  <c r="AD394" i="7"/>
  <c r="AD400" i="7"/>
  <c r="AC400" i="7"/>
  <c r="AB400" i="7"/>
  <c r="AD408" i="7"/>
  <c r="AC408" i="7"/>
  <c r="AB408" i="7"/>
  <c r="AD416" i="7"/>
  <c r="AC416" i="7"/>
  <c r="AB416" i="7"/>
  <c r="AD424" i="7"/>
  <c r="AC424" i="7"/>
  <c r="AB424" i="7"/>
  <c r="AA278" i="7"/>
  <c r="AA279" i="7"/>
  <c r="AA280" i="7"/>
  <c r="AA294" i="7"/>
  <c r="AA295" i="7"/>
  <c r="AA296" i="7"/>
  <c r="AA310" i="7"/>
  <c r="AA311" i="7"/>
  <c r="AA312" i="7"/>
  <c r="AA326" i="7"/>
  <c r="AA327" i="7"/>
  <c r="AA328" i="7"/>
  <c r="AA342" i="7"/>
  <c r="AA343" i="7"/>
  <c r="AA344" i="7"/>
  <c r="AD356" i="7"/>
  <c r="AB356" i="7"/>
  <c r="AB358" i="7"/>
  <c r="AD358" i="7"/>
  <c r="AD372" i="7"/>
  <c r="AB372" i="7"/>
  <c r="AB374" i="7"/>
  <c r="AD374" i="7"/>
  <c r="AD388" i="7"/>
  <c r="AB388" i="7"/>
  <c r="AB390" i="7"/>
  <c r="AD390" i="7"/>
  <c r="AC434" i="7"/>
  <c r="AB435" i="7"/>
  <c r="AC438" i="7"/>
  <c r="AB439" i="7"/>
  <c r="AC442" i="7"/>
  <c r="AB443" i="7"/>
  <c r="AC446" i="7"/>
  <c r="AB447" i="7"/>
  <c r="AC450" i="7"/>
  <c r="AB451" i="7"/>
  <c r="AC454" i="7"/>
  <c r="AB455" i="7"/>
  <c r="AC458" i="7"/>
  <c r="AB459" i="7"/>
  <c r="AC462" i="7"/>
  <c r="AB463" i="7"/>
  <c r="AC468" i="7"/>
  <c r="AD469" i="7"/>
  <c r="AD470" i="7"/>
  <c r="AB472" i="7"/>
  <c r="AB473" i="7"/>
  <c r="AC474" i="7"/>
  <c r="AA476" i="7"/>
  <c r="AA477" i="7"/>
  <c r="AA478" i="7"/>
  <c r="AC484" i="7"/>
  <c r="AD485" i="7"/>
  <c r="AD486" i="7"/>
  <c r="AB488" i="7"/>
  <c r="AB489" i="7"/>
  <c r="AC490" i="7"/>
  <c r="AA492" i="7"/>
  <c r="AA493" i="7"/>
  <c r="AA494" i="7"/>
  <c r="AC500" i="7"/>
  <c r="AD501" i="7"/>
  <c r="AD502" i="7"/>
  <c r="AB504" i="7"/>
  <c r="AB505" i="7"/>
  <c r="AC506" i="7"/>
  <c r="AA508" i="7"/>
  <c r="AA509" i="7"/>
  <c r="AA510" i="7"/>
  <c r="AC516" i="7"/>
  <c r="AD517" i="7"/>
  <c r="AD518" i="7"/>
  <c r="AB520" i="7"/>
  <c r="AB521" i="7"/>
  <c r="AC522" i="7"/>
  <c r="AA524" i="7"/>
  <c r="AB530" i="7"/>
  <c r="AD530" i="7"/>
  <c r="AD532" i="7"/>
  <c r="AB532" i="7"/>
  <c r="AA538" i="7"/>
  <c r="AA540" i="7"/>
  <c r="AB546" i="7"/>
  <c r="AD546" i="7"/>
  <c r="AD552" i="7"/>
  <c r="AC552" i="7"/>
  <c r="AA552" i="7"/>
  <c r="AB554" i="7"/>
  <c r="AD554" i="7"/>
  <c r="AA554" i="7"/>
  <c r="AC577" i="7"/>
  <c r="AA577" i="7"/>
  <c r="AD577" i="7"/>
  <c r="AC585" i="7"/>
  <c r="AD585" i="7"/>
  <c r="AA585" i="7"/>
  <c r="AD608" i="7"/>
  <c r="AA608" i="7"/>
  <c r="AC608" i="7"/>
  <c r="AB626" i="7"/>
  <c r="AA626" i="7"/>
  <c r="AD626" i="7"/>
  <c r="AC626" i="7"/>
  <c r="AD640" i="7"/>
  <c r="AA640" i="7"/>
  <c r="AC640" i="7"/>
  <c r="AB640" i="7"/>
  <c r="AD398" i="7"/>
  <c r="AD402" i="7"/>
  <c r="AD406" i="7"/>
  <c r="AD410" i="7"/>
  <c r="AD414" i="7"/>
  <c r="AD418" i="7"/>
  <c r="AD422" i="7"/>
  <c r="AD426" i="7"/>
  <c r="AD430" i="7"/>
  <c r="AD434" i="7"/>
  <c r="AD438" i="7"/>
  <c r="AD442" i="7"/>
  <c r="AD446" i="7"/>
  <c r="AD450" i="7"/>
  <c r="AD454" i="7"/>
  <c r="AD458" i="7"/>
  <c r="AD462" i="7"/>
  <c r="AC472" i="7"/>
  <c r="AD473" i="7"/>
  <c r="AD474" i="7"/>
  <c r="AB476" i="7"/>
  <c r="AB477" i="7"/>
  <c r="AC478" i="7"/>
  <c r="AC488" i="7"/>
  <c r="AD489" i="7"/>
  <c r="AD490" i="7"/>
  <c r="AB492" i="7"/>
  <c r="AB493" i="7"/>
  <c r="AC494" i="7"/>
  <c r="AC504" i="7"/>
  <c r="AD505" i="7"/>
  <c r="AD506" i="7"/>
  <c r="AB508" i="7"/>
  <c r="AB509" i="7"/>
  <c r="AC510" i="7"/>
  <c r="AC520" i="7"/>
  <c r="AD521" i="7"/>
  <c r="AD522" i="7"/>
  <c r="AB526" i="7"/>
  <c r="AD526" i="7"/>
  <c r="AD528" i="7"/>
  <c r="AB528" i="7"/>
  <c r="AB542" i="7"/>
  <c r="AD542" i="7"/>
  <c r="AD544" i="7"/>
  <c r="AB544" i="7"/>
  <c r="AD560" i="7"/>
  <c r="AA560" i="7"/>
  <c r="AC560" i="7"/>
  <c r="AB562" i="7"/>
  <c r="AA562" i="7"/>
  <c r="AD562" i="7"/>
  <c r="AD568" i="7"/>
  <c r="AC568" i="7"/>
  <c r="AA568" i="7"/>
  <c r="AB570" i="7"/>
  <c r="AD570" i="7"/>
  <c r="AA570" i="7"/>
  <c r="AC593" i="7"/>
  <c r="AA593" i="7"/>
  <c r="AD593" i="7"/>
  <c r="AC601" i="7"/>
  <c r="AD601" i="7"/>
  <c r="AA601" i="7"/>
  <c r="AC609" i="7"/>
  <c r="AA609" i="7"/>
  <c r="AD609" i="7"/>
  <c r="AB609" i="7"/>
  <c r="AC641" i="7"/>
  <c r="AA641" i="7"/>
  <c r="AD641" i="7"/>
  <c r="AB641" i="7"/>
  <c r="AD524" i="7"/>
  <c r="AB524" i="7"/>
  <c r="AB538" i="7"/>
  <c r="AD538" i="7"/>
  <c r="AD540" i="7"/>
  <c r="AB540" i="7"/>
  <c r="AC553" i="7"/>
  <c r="AD553" i="7"/>
  <c r="AA553" i="7"/>
  <c r="AD576" i="7"/>
  <c r="AA576" i="7"/>
  <c r="AC576" i="7"/>
  <c r="AB578" i="7"/>
  <c r="AA578" i="7"/>
  <c r="AD578" i="7"/>
  <c r="AD584" i="7"/>
  <c r="AC584" i="7"/>
  <c r="AA584" i="7"/>
  <c r="AB586" i="7"/>
  <c r="AD586" i="7"/>
  <c r="AA586" i="7"/>
  <c r="AB610" i="7"/>
  <c r="AA610" i="7"/>
  <c r="AD610" i="7"/>
  <c r="AC610" i="7"/>
  <c r="AD624" i="7"/>
  <c r="AA624" i="7"/>
  <c r="AC624" i="7"/>
  <c r="AB624" i="7"/>
  <c r="AB642" i="7"/>
  <c r="AA642" i="7"/>
  <c r="AD642" i="7"/>
  <c r="AC642" i="7"/>
  <c r="AA472" i="7"/>
  <c r="AA473" i="7"/>
  <c r="AA474" i="7"/>
  <c r="AA488" i="7"/>
  <c r="AA489" i="7"/>
  <c r="AA490" i="7"/>
  <c r="AA504" i="7"/>
  <c r="AA505" i="7"/>
  <c r="AA506" i="7"/>
  <c r="AA520" i="7"/>
  <c r="AA521" i="7"/>
  <c r="AA522" i="7"/>
  <c r="AB534" i="7"/>
  <c r="AD534" i="7"/>
  <c r="AD536" i="7"/>
  <c r="AB536" i="7"/>
  <c r="AC561" i="7"/>
  <c r="AA561" i="7"/>
  <c r="AD561" i="7"/>
  <c r="AC569" i="7"/>
  <c r="AD569" i="7"/>
  <c r="AA569" i="7"/>
  <c r="AD592" i="7"/>
  <c r="AA592" i="7"/>
  <c r="AC592" i="7"/>
  <c r="AB594" i="7"/>
  <c r="AA594" i="7"/>
  <c r="AD594" i="7"/>
  <c r="AD600" i="7"/>
  <c r="AC600" i="7"/>
  <c r="AA600" i="7"/>
  <c r="AB602" i="7"/>
  <c r="AD602" i="7"/>
  <c r="AA602" i="7"/>
  <c r="AC625" i="7"/>
  <c r="AA625" i="7"/>
  <c r="AD625" i="7"/>
  <c r="AB625" i="7"/>
  <c r="AB656" i="7"/>
  <c r="AB657" i="7"/>
  <c r="AC658" i="7"/>
  <c r="AD674" i="7"/>
  <c r="AB674" i="7"/>
  <c r="AB676" i="7"/>
  <c r="AD676" i="7"/>
  <c r="AA682" i="7"/>
  <c r="AA684" i="7"/>
  <c r="AD690" i="7"/>
  <c r="AB690" i="7"/>
  <c r="AB692" i="7"/>
  <c r="AD692" i="7"/>
  <c r="AA698" i="7"/>
  <c r="AA700" i="7"/>
  <c r="AD706" i="7"/>
  <c r="AB706" i="7"/>
  <c r="AB708" i="7"/>
  <c r="AD708" i="7"/>
  <c r="AA714" i="7"/>
  <c r="AA716" i="7"/>
  <c r="AD722" i="7"/>
  <c r="AB722" i="7"/>
  <c r="AB724" i="7"/>
  <c r="AD724" i="7"/>
  <c r="AA730" i="7"/>
  <c r="AA732" i="7"/>
  <c r="AD738" i="7"/>
  <c r="AB738" i="7"/>
  <c r="AB740" i="7"/>
  <c r="AD740" i="7"/>
  <c r="AA746" i="7"/>
  <c r="AA748" i="7"/>
  <c r="AD754" i="7"/>
  <c r="AB754" i="7"/>
  <c r="AB756" i="7"/>
  <c r="AD756" i="7"/>
  <c r="AA762" i="7"/>
  <c r="AA764" i="7"/>
  <c r="AD770" i="7"/>
  <c r="AB770" i="7"/>
  <c r="AB772" i="7"/>
  <c r="AD772" i="7"/>
  <c r="AA778" i="7"/>
  <c r="AA780" i="7"/>
  <c r="AD786" i="7"/>
  <c r="AB786" i="7"/>
  <c r="AD794" i="7"/>
  <c r="AC794" i="7"/>
  <c r="AB794" i="7"/>
  <c r="AD802" i="7"/>
  <c r="AC802" i="7"/>
  <c r="AB802" i="7"/>
  <c r="AD810" i="7"/>
  <c r="AC810" i="7"/>
  <c r="AB810" i="7"/>
  <c r="AD818" i="7"/>
  <c r="AC818" i="7"/>
  <c r="AB818" i="7"/>
  <c r="AD826" i="7"/>
  <c r="AC826" i="7"/>
  <c r="AB826" i="7"/>
  <c r="AA616" i="7"/>
  <c r="AA617" i="7"/>
  <c r="AA618" i="7"/>
  <c r="AA632" i="7"/>
  <c r="AA633" i="7"/>
  <c r="AA634" i="7"/>
  <c r="AA648" i="7"/>
  <c r="AA649" i="7"/>
  <c r="AA650" i="7"/>
  <c r="AC656" i="7"/>
  <c r="AD657" i="7"/>
  <c r="AD658" i="7"/>
  <c r="AA664" i="7"/>
  <c r="AA665" i="7"/>
  <c r="AA666" i="7"/>
  <c r="AB672" i="7"/>
  <c r="AD672" i="7"/>
  <c r="AD686" i="7"/>
  <c r="AB686" i="7"/>
  <c r="AB688" i="7"/>
  <c r="AD688" i="7"/>
  <c r="AD702" i="7"/>
  <c r="AB702" i="7"/>
  <c r="AB704" i="7"/>
  <c r="AD704" i="7"/>
  <c r="AD718" i="7"/>
  <c r="AB718" i="7"/>
  <c r="AB720" i="7"/>
  <c r="AD720" i="7"/>
  <c r="AD734" i="7"/>
  <c r="AB734" i="7"/>
  <c r="AB736" i="7"/>
  <c r="AD736" i="7"/>
  <c r="AD750" i="7"/>
  <c r="AB750" i="7"/>
  <c r="AB752" i="7"/>
  <c r="AD752" i="7"/>
  <c r="AD766" i="7"/>
  <c r="AB766" i="7"/>
  <c r="AB768" i="7"/>
  <c r="AD768" i="7"/>
  <c r="AD782" i="7"/>
  <c r="AB782" i="7"/>
  <c r="AB784" i="7"/>
  <c r="AD784" i="7"/>
  <c r="AD682" i="7"/>
  <c r="AB682" i="7"/>
  <c r="AB684" i="7"/>
  <c r="AD684" i="7"/>
  <c r="AD698" i="7"/>
  <c r="AB698" i="7"/>
  <c r="AB700" i="7"/>
  <c r="AD700" i="7"/>
  <c r="AD714" i="7"/>
  <c r="AB714" i="7"/>
  <c r="AB716" i="7"/>
  <c r="AD716" i="7"/>
  <c r="AD730" i="7"/>
  <c r="AB730" i="7"/>
  <c r="AB732" i="7"/>
  <c r="AD732" i="7"/>
  <c r="AD746" i="7"/>
  <c r="AB746" i="7"/>
  <c r="AB748" i="7"/>
  <c r="AD748" i="7"/>
  <c r="AD762" i="7"/>
  <c r="AB762" i="7"/>
  <c r="AB764" i="7"/>
  <c r="AD764" i="7"/>
  <c r="AD778" i="7"/>
  <c r="AB778" i="7"/>
  <c r="AB780" i="7"/>
  <c r="AD780" i="7"/>
  <c r="AD790" i="7"/>
  <c r="AC790" i="7"/>
  <c r="AB790" i="7"/>
  <c r="AD798" i="7"/>
  <c r="AC798" i="7"/>
  <c r="AB798" i="7"/>
  <c r="AD806" i="7"/>
  <c r="AC806" i="7"/>
  <c r="AB806" i="7"/>
  <c r="AD814" i="7"/>
  <c r="AC814" i="7"/>
  <c r="AB814" i="7"/>
  <c r="AD822" i="7"/>
  <c r="AC822" i="7"/>
  <c r="AB822" i="7"/>
  <c r="AD830" i="7"/>
  <c r="AC830" i="7"/>
  <c r="AB830" i="7"/>
  <c r="AB556" i="7"/>
  <c r="AB557" i="7"/>
  <c r="AC558" i="7"/>
  <c r="AB572" i="7"/>
  <c r="AB573" i="7"/>
  <c r="AC574" i="7"/>
  <c r="AB588" i="7"/>
  <c r="AB589" i="7"/>
  <c r="AC590" i="7"/>
  <c r="AB604" i="7"/>
  <c r="AB605" i="7"/>
  <c r="AC606" i="7"/>
  <c r="AC616" i="7"/>
  <c r="AD617" i="7"/>
  <c r="AD618" i="7"/>
  <c r="AB620" i="7"/>
  <c r="AB621" i="7"/>
  <c r="AC622" i="7"/>
  <c r="AC632" i="7"/>
  <c r="AD633" i="7"/>
  <c r="AD634" i="7"/>
  <c r="AB636" i="7"/>
  <c r="AB637" i="7"/>
  <c r="AC638" i="7"/>
  <c r="AC648" i="7"/>
  <c r="AD649" i="7"/>
  <c r="AD650" i="7"/>
  <c r="AB652" i="7"/>
  <c r="AB653" i="7"/>
  <c r="AC654" i="7"/>
  <c r="AA656" i="7"/>
  <c r="AA657" i="7"/>
  <c r="AA658" i="7"/>
  <c r="AC664" i="7"/>
  <c r="AD665" i="7"/>
  <c r="AD666" i="7"/>
  <c r="AB668" i="7"/>
  <c r="AB669" i="7"/>
  <c r="AC670" i="7"/>
  <c r="AA672" i="7"/>
  <c r="AC674" i="7"/>
  <c r="AC676" i="7"/>
  <c r="AD678" i="7"/>
  <c r="AB678" i="7"/>
  <c r="AB680" i="7"/>
  <c r="AD680" i="7"/>
  <c r="AA686" i="7"/>
  <c r="AA688" i="7"/>
  <c r="AC690" i="7"/>
  <c r="AC692" i="7"/>
  <c r="AD694" i="7"/>
  <c r="AB694" i="7"/>
  <c r="AB696" i="7"/>
  <c r="AD696" i="7"/>
  <c r="AA702" i="7"/>
  <c r="AA704" i="7"/>
  <c r="AC706" i="7"/>
  <c r="AC708" i="7"/>
  <c r="AD710" i="7"/>
  <c r="AB710" i="7"/>
  <c r="AB712" i="7"/>
  <c r="AD712" i="7"/>
  <c r="AA718" i="7"/>
  <c r="AA720" i="7"/>
  <c r="AC722" i="7"/>
  <c r="AC724" i="7"/>
  <c r="AD726" i="7"/>
  <c r="AB726" i="7"/>
  <c r="AB728" i="7"/>
  <c r="AD728" i="7"/>
  <c r="AA734" i="7"/>
  <c r="AA736" i="7"/>
  <c r="AC738" i="7"/>
  <c r="AC740" i="7"/>
  <c r="AD742" i="7"/>
  <c r="AB742" i="7"/>
  <c r="AB744" i="7"/>
  <c r="AD744" i="7"/>
  <c r="AA750" i="7"/>
  <c r="AA752" i="7"/>
  <c r="AC754" i="7"/>
  <c r="AC756" i="7"/>
  <c r="AD758" i="7"/>
  <c r="AB758" i="7"/>
  <c r="AB760" i="7"/>
  <c r="AD760" i="7"/>
  <c r="AA766" i="7"/>
  <c r="AA768" i="7"/>
  <c r="AC770" i="7"/>
  <c r="AC772" i="7"/>
  <c r="AD774" i="7"/>
  <c r="AB774" i="7"/>
  <c r="AB776" i="7"/>
  <c r="AD776" i="7"/>
  <c r="AA782" i="7"/>
  <c r="AA784" i="7"/>
  <c r="AC786" i="7"/>
  <c r="AA794" i="7"/>
  <c r="AA802" i="7"/>
  <c r="AA810" i="7"/>
  <c r="AA818" i="7"/>
  <c r="AA826" i="7"/>
  <c r="AD788" i="7"/>
  <c r="AD792" i="7"/>
  <c r="AD796" i="7"/>
  <c r="AD800" i="7"/>
  <c r="AD804" i="7"/>
  <c r="AD808" i="7"/>
  <c r="AD812" i="7"/>
  <c r="AD816" i="7"/>
  <c r="AD820" i="7"/>
  <c r="AD824" i="7"/>
  <c r="AD828" i="7"/>
  <c r="AD832" i="7"/>
  <c r="AB834" i="7"/>
  <c r="AD836" i="7"/>
  <c r="AB838" i="7"/>
  <c r="AD840" i="7"/>
  <c r="AB842" i="7"/>
  <c r="AD844" i="7"/>
  <c r="AB846" i="7"/>
  <c r="AD848" i="7"/>
  <c r="AB850" i="7"/>
  <c r="AD852" i="7"/>
  <c r="AB854" i="7"/>
  <c r="AD856" i="7"/>
  <c r="AB858" i="7"/>
  <c r="AD860" i="7"/>
  <c r="AB862" i="7"/>
  <c r="AD864" i="7"/>
  <c r="AB866" i="7"/>
  <c r="AD868" i="7"/>
  <c r="AB870" i="7"/>
  <c r="AD872" i="7"/>
  <c r="AB874" i="7"/>
  <c r="AD876" i="7"/>
  <c r="AB878" i="7"/>
  <c r="AD880" i="7"/>
  <c r="AB882" i="7"/>
  <c r="AD884" i="7"/>
  <c r="AB886" i="7"/>
  <c r="AD888" i="7"/>
  <c r="AB890" i="7"/>
  <c r="AD892" i="7"/>
  <c r="AB894" i="7"/>
  <c r="AD896" i="7"/>
  <c r="AB898" i="7"/>
  <c r="AD900" i="7"/>
  <c r="AB902" i="7"/>
  <c r="AD904" i="7"/>
  <c r="AB906" i="7"/>
  <c r="AD908" i="7"/>
  <c r="AB910" i="7"/>
  <c r="AD912" i="7"/>
  <c r="AB914" i="7"/>
  <c r="AD916" i="7"/>
  <c r="AB918" i="7"/>
  <c r="AD920" i="7"/>
  <c r="AB922" i="7"/>
  <c r="AD924" i="7"/>
  <c r="AB926" i="7"/>
  <c r="AD928" i="7"/>
  <c r="AB930" i="7"/>
  <c r="AD932" i="7"/>
  <c r="AB934" i="7"/>
  <c r="AD936" i="7"/>
  <c r="AB938" i="7"/>
  <c r="AD940" i="7"/>
  <c r="AB942" i="7"/>
  <c r="AD944" i="7"/>
  <c r="AB946" i="7"/>
  <c r="AD948" i="7"/>
  <c r="AB950" i="7"/>
  <c r="AD952" i="7"/>
  <c r="AB954" i="7"/>
  <c r="AD956" i="7"/>
  <c r="AB958" i="7"/>
  <c r="AD960" i="7"/>
  <c r="AB962" i="7"/>
  <c r="AD964" i="7"/>
  <c r="AB966" i="7"/>
  <c r="AD968" i="7"/>
  <c r="AB970" i="7"/>
  <c r="AD972" i="7"/>
  <c r="AB974" i="7"/>
  <c r="AD976" i="7"/>
  <c r="AB978" i="7"/>
  <c r="AD980" i="7"/>
  <c r="AB982" i="7"/>
  <c r="AD984" i="7"/>
  <c r="AB986" i="7"/>
  <c r="AD988" i="7"/>
  <c r="AB990" i="7"/>
  <c r="AA991" i="7"/>
  <c r="AC834" i="7"/>
  <c r="AC838" i="7"/>
  <c r="AC842" i="7"/>
  <c r="AC846" i="7"/>
  <c r="AC850" i="7"/>
  <c r="AC854" i="7"/>
  <c r="AC858" i="7"/>
  <c r="AC862" i="7"/>
  <c r="AC866" i="7"/>
  <c r="AC870" i="7"/>
  <c r="AC874" i="7"/>
  <c r="AC878" i="7"/>
  <c r="AC882" i="7"/>
  <c r="AC886" i="7"/>
  <c r="AC890" i="7"/>
  <c r="AC894" i="7"/>
  <c r="AC898" i="7"/>
  <c r="AC902" i="7"/>
  <c r="AC906" i="7"/>
  <c r="AC910" i="7"/>
  <c r="AC914" i="7"/>
  <c r="AC918" i="7"/>
  <c r="AC922" i="7"/>
  <c r="AC926" i="7"/>
  <c r="AC930" i="7"/>
  <c r="AC934" i="7"/>
  <c r="AC938" i="7"/>
  <c r="AC942" i="7"/>
  <c r="AC946" i="7"/>
  <c r="AC950" i="7"/>
  <c r="AC954" i="7"/>
  <c r="AC958" i="7"/>
  <c r="AC962" i="7"/>
  <c r="AC966" i="7"/>
  <c r="AC970" i="7"/>
  <c r="AC974" i="7"/>
  <c r="AC978" i="7"/>
  <c r="AC982" i="7"/>
  <c r="AC986" i="7"/>
  <c r="AC990" i="7"/>
  <c r="AC991" i="7"/>
  <c r="AA993" i="7"/>
  <c r="AD999" i="7"/>
  <c r="AB999" i="7"/>
  <c r="C71" i="9"/>
  <c r="AD991" i="7"/>
  <c r="AD995" i="7"/>
  <c r="AB995" i="7"/>
  <c r="AB997" i="7"/>
  <c r="AD997" i="7"/>
  <c r="AB993" i="7"/>
  <c r="AD993" i="7"/>
  <c r="I77" i="9"/>
  <c r="O77" i="9" s="1"/>
  <c r="AI11" i="7"/>
  <c r="AI15" i="7"/>
  <c r="AI46" i="7"/>
  <c r="AJ8" i="7"/>
  <c r="C49" i="9"/>
  <c r="C65" i="9" s="1"/>
  <c r="O65" i="9" s="1"/>
  <c r="H7" i="4" s="1"/>
  <c r="J7" i="4" s="1"/>
  <c r="C58" i="9"/>
  <c r="B114" i="16"/>
  <c r="B104" i="16"/>
  <c r="B85" i="16"/>
  <c r="C47" i="9"/>
  <c r="B94" i="16"/>
  <c r="C60" i="9"/>
  <c r="B6" i="16"/>
  <c r="W48" i="9"/>
  <c r="B16" i="16"/>
  <c r="A9" i="9"/>
  <c r="B37" i="16"/>
  <c r="T7" i="9"/>
  <c r="W7" i="9" s="1"/>
  <c r="T9" i="9" l="1"/>
  <c r="W9" i="9" s="1"/>
  <c r="A10" i="9"/>
  <c r="C9" i="9"/>
  <c r="S9" i="9"/>
  <c r="V9" i="9" s="1"/>
  <c r="I9" i="9"/>
  <c r="O9" i="9"/>
  <c r="P9" i="9"/>
  <c r="B9" i="9"/>
  <c r="R9" i="9"/>
  <c r="U9" i="9" s="1"/>
  <c r="C63" i="9"/>
  <c r="C55" i="9"/>
  <c r="O63" i="9" l="1"/>
  <c r="C10" i="9"/>
  <c r="A11" i="9"/>
  <c r="T10" i="9"/>
  <c r="W10" i="9" s="1"/>
  <c r="S10" i="9"/>
  <c r="V10" i="9" s="1"/>
  <c r="I10" i="9"/>
  <c r="B10" i="9"/>
  <c r="O10" i="9"/>
  <c r="P10" i="9"/>
  <c r="R10" i="9"/>
  <c r="U10" i="9" s="1"/>
  <c r="H5" i="4" l="1"/>
  <c r="J5" i="4" s="1"/>
  <c r="A12" i="9"/>
  <c r="T11" i="9"/>
  <c r="W11" i="9" s="1"/>
  <c r="B11" i="9"/>
  <c r="C11" i="9"/>
  <c r="R11" i="9"/>
  <c r="U11" i="9" s="1"/>
  <c r="S11" i="9"/>
  <c r="V11" i="9" s="1"/>
  <c r="I11" i="9"/>
  <c r="O11" i="9"/>
  <c r="P11" i="9"/>
  <c r="C12" i="9" l="1"/>
  <c r="B12" i="9"/>
  <c r="R12" i="9"/>
  <c r="U12" i="9" s="1"/>
  <c r="T12" i="9"/>
  <c r="W12" i="9" s="1"/>
  <c r="S12" i="9"/>
  <c r="V12" i="9" s="1"/>
  <c r="A13" i="9"/>
  <c r="I12" i="9"/>
  <c r="O12" i="9"/>
  <c r="P12" i="9"/>
  <c r="T13" i="9" l="1"/>
  <c r="W13" i="9" s="1"/>
  <c r="A14" i="9"/>
  <c r="C13" i="9"/>
  <c r="S13" i="9"/>
  <c r="V13" i="9" s="1"/>
  <c r="I13" i="9"/>
  <c r="R13" i="9"/>
  <c r="U13" i="9" s="1"/>
  <c r="B13" i="9"/>
  <c r="P13" i="9"/>
  <c r="O13" i="9"/>
  <c r="C14" i="9" l="1"/>
  <c r="A15" i="9"/>
  <c r="T14" i="9"/>
  <c r="W14" i="9" s="1"/>
  <c r="S14" i="9"/>
  <c r="V14" i="9" s="1"/>
  <c r="I14" i="9"/>
  <c r="P14" i="9"/>
  <c r="R14" i="9"/>
  <c r="U14" i="9" s="1"/>
  <c r="O14" i="9"/>
  <c r="B14" i="9"/>
  <c r="A16" i="9" l="1"/>
  <c r="T15" i="9"/>
  <c r="W15" i="9" s="1"/>
  <c r="C15" i="9"/>
  <c r="S15" i="9"/>
  <c r="V15" i="9" s="1"/>
  <c r="I15" i="9"/>
  <c r="R15" i="9"/>
  <c r="U15" i="9" s="1"/>
  <c r="B15" i="9"/>
  <c r="P15" i="9"/>
  <c r="O15" i="9"/>
  <c r="C16" i="9" l="1"/>
  <c r="T16" i="9"/>
  <c r="W16" i="9" s="1"/>
  <c r="A17" i="9"/>
  <c r="S16" i="9"/>
  <c r="V16" i="9" s="1"/>
  <c r="I16" i="9"/>
  <c r="P16" i="9"/>
  <c r="R16" i="9"/>
  <c r="U16" i="9" s="1"/>
  <c r="O16" i="9"/>
  <c r="B16" i="9"/>
  <c r="T17" i="9" l="1"/>
  <c r="W17" i="9" s="1"/>
  <c r="A18" i="9"/>
  <c r="C17" i="9"/>
  <c r="S17" i="9"/>
  <c r="V17" i="9" s="1"/>
  <c r="I17" i="9"/>
  <c r="R17" i="9"/>
  <c r="U17" i="9" s="1"/>
  <c r="B17" i="9"/>
  <c r="P17" i="9"/>
  <c r="O17" i="9"/>
  <c r="C18" i="9" l="1"/>
  <c r="B18" i="9"/>
  <c r="A19" i="9"/>
  <c r="T18" i="9"/>
  <c r="W18" i="9" s="1"/>
  <c r="R18" i="9"/>
  <c r="U18" i="9" s="1"/>
  <c r="S18" i="9"/>
  <c r="V18" i="9" s="1"/>
  <c r="I18" i="9"/>
  <c r="P18" i="9"/>
  <c r="O18" i="9"/>
  <c r="A20" i="9" l="1"/>
  <c r="B19" i="9"/>
  <c r="T19" i="9"/>
  <c r="W19" i="9" s="1"/>
  <c r="C19" i="9"/>
  <c r="R19" i="9"/>
  <c r="U19" i="9" s="1"/>
  <c r="S19" i="9"/>
  <c r="V19" i="9" s="1"/>
  <c r="I19" i="9"/>
  <c r="O19" i="9"/>
  <c r="P19" i="9"/>
  <c r="C20" i="9" l="1"/>
  <c r="A21" i="9"/>
  <c r="S20" i="9"/>
  <c r="V20" i="9" s="1"/>
  <c r="T20" i="9"/>
  <c r="W20" i="9" s="1"/>
  <c r="I20" i="9"/>
  <c r="O20" i="9"/>
  <c r="P20" i="9"/>
  <c r="B20" i="9"/>
  <c r="R20" i="9"/>
  <c r="U20" i="9" s="1"/>
  <c r="T21" i="9" l="1"/>
  <c r="W21" i="9" s="1"/>
  <c r="A22" i="9"/>
  <c r="C21" i="9"/>
  <c r="S21" i="9"/>
  <c r="V21" i="9" s="1"/>
  <c r="I21" i="9"/>
  <c r="R21" i="9"/>
  <c r="U21" i="9" s="1"/>
  <c r="B21" i="9"/>
  <c r="O21" i="9"/>
  <c r="P21" i="9"/>
  <c r="T22" i="9" l="1"/>
  <c r="W22" i="9" s="1"/>
  <c r="A23" i="9"/>
  <c r="C22" i="9"/>
  <c r="S22" i="9"/>
  <c r="V22" i="9" s="1"/>
  <c r="R22" i="9"/>
  <c r="U22" i="9" s="1"/>
  <c r="I22" i="9"/>
  <c r="O22" i="9"/>
  <c r="B22" i="9"/>
  <c r="P22" i="9"/>
  <c r="A24" i="9" l="1"/>
  <c r="T23" i="9"/>
  <c r="W23" i="9" s="1"/>
  <c r="S23" i="9"/>
  <c r="V23" i="9" s="1"/>
  <c r="C23" i="9"/>
  <c r="I23" i="9"/>
  <c r="O23" i="9"/>
  <c r="P23" i="9"/>
  <c r="B23" i="9"/>
  <c r="R23" i="9"/>
  <c r="U23" i="9" s="1"/>
  <c r="T24" i="9" l="1"/>
  <c r="W24" i="9" s="1"/>
  <c r="C24" i="9"/>
  <c r="A25" i="9"/>
  <c r="S24" i="9"/>
  <c r="V24" i="9" s="1"/>
  <c r="I24" i="9"/>
  <c r="R24" i="9"/>
  <c r="U24" i="9" s="1"/>
  <c r="O24" i="9"/>
  <c r="P24" i="9"/>
  <c r="B24" i="9"/>
  <c r="T25" i="9" l="1"/>
  <c r="W25" i="9" s="1"/>
  <c r="A26" i="9"/>
  <c r="C25" i="9"/>
  <c r="I25" i="9"/>
  <c r="R25" i="9"/>
  <c r="U25" i="9" s="1"/>
  <c r="S25" i="9"/>
  <c r="V25" i="9" s="1"/>
  <c r="B25" i="9"/>
  <c r="P25" i="9"/>
  <c r="O25" i="9"/>
  <c r="T26" i="9" l="1"/>
  <c r="W26" i="9" s="1"/>
  <c r="A27" i="9"/>
  <c r="C26" i="9"/>
  <c r="S26" i="9"/>
  <c r="V26" i="9" s="1"/>
  <c r="I26" i="9"/>
  <c r="P26" i="9"/>
  <c r="R26" i="9"/>
  <c r="U26" i="9" s="1"/>
  <c r="B26" i="9"/>
  <c r="O26" i="9"/>
  <c r="A28" i="9" l="1"/>
  <c r="T27" i="9"/>
  <c r="W27" i="9" s="1"/>
  <c r="C27" i="9"/>
  <c r="S27" i="9"/>
  <c r="V27" i="9" s="1"/>
  <c r="I27" i="9"/>
  <c r="O27" i="9"/>
  <c r="P27" i="9"/>
  <c r="B27" i="9"/>
  <c r="R27" i="9"/>
  <c r="U27" i="9" s="1"/>
  <c r="T28" i="9" l="1"/>
  <c r="W28" i="9" s="1"/>
  <c r="C28" i="9"/>
  <c r="S28" i="9"/>
  <c r="V28" i="9" s="1"/>
  <c r="I28" i="9"/>
  <c r="A29" i="9"/>
  <c r="B28" i="9"/>
  <c r="O28" i="9"/>
  <c r="R28" i="9"/>
  <c r="U28" i="9" s="1"/>
  <c r="P28" i="9"/>
  <c r="T29" i="9" l="1"/>
  <c r="W29" i="9" s="1"/>
  <c r="A30" i="9"/>
  <c r="C29" i="9"/>
  <c r="S29" i="9"/>
  <c r="V29" i="9" s="1"/>
  <c r="I29" i="9"/>
  <c r="R29" i="9"/>
  <c r="U29" i="9" s="1"/>
  <c r="B29" i="9"/>
  <c r="O29" i="9"/>
  <c r="P29" i="9"/>
  <c r="T30" i="9" l="1"/>
  <c r="W30" i="9" s="1"/>
  <c r="A31" i="9"/>
  <c r="C30" i="9"/>
  <c r="S30" i="9"/>
  <c r="V30" i="9" s="1"/>
  <c r="I30" i="9"/>
  <c r="P30" i="9"/>
  <c r="R30" i="9"/>
  <c r="U30" i="9" s="1"/>
  <c r="O30" i="9"/>
  <c r="B30" i="9"/>
  <c r="A32" i="9" l="1"/>
  <c r="T31" i="9"/>
  <c r="W31" i="9" s="1"/>
  <c r="S31" i="9"/>
  <c r="V31" i="9" s="1"/>
  <c r="C31" i="9"/>
  <c r="I31" i="9"/>
  <c r="R31" i="9"/>
  <c r="U31" i="9" s="1"/>
  <c r="P31" i="9"/>
  <c r="B31" i="9"/>
  <c r="O31" i="9"/>
  <c r="T32" i="9" l="1"/>
  <c r="W32" i="9" s="1"/>
  <c r="C32" i="9"/>
  <c r="A33" i="9"/>
  <c r="S32" i="9"/>
  <c r="V32" i="9" s="1"/>
  <c r="I32" i="9"/>
  <c r="P32" i="9"/>
  <c r="B32" i="9"/>
  <c r="O32" i="9"/>
  <c r="R32" i="9"/>
  <c r="U32" i="9" s="1"/>
  <c r="T33" i="9" l="1"/>
  <c r="W33" i="9" s="1"/>
  <c r="A34" i="9"/>
  <c r="C33" i="9"/>
  <c r="S33" i="9"/>
  <c r="V33" i="9" s="1"/>
  <c r="I33" i="9"/>
  <c r="O33" i="9"/>
  <c r="B33" i="9"/>
  <c r="P33" i="9"/>
  <c r="R33" i="9"/>
  <c r="U33" i="9" s="1"/>
  <c r="T34" i="9" l="1"/>
  <c r="W34" i="9" s="1"/>
  <c r="A35" i="9"/>
  <c r="C34" i="9"/>
  <c r="S34" i="9"/>
  <c r="V34" i="9" s="1"/>
  <c r="I34" i="9"/>
  <c r="B34" i="9"/>
  <c r="O34" i="9"/>
  <c r="P34" i="9"/>
  <c r="R34" i="9"/>
  <c r="U34" i="9" s="1"/>
  <c r="A36" i="9" l="1"/>
  <c r="T35" i="9"/>
  <c r="W35" i="9" s="1"/>
  <c r="C35" i="9"/>
  <c r="S35" i="9"/>
  <c r="V35" i="9" s="1"/>
  <c r="I35" i="9"/>
  <c r="R35" i="9"/>
  <c r="U35" i="9" s="1"/>
  <c r="B35" i="9"/>
  <c r="O35" i="9"/>
  <c r="P35" i="9"/>
  <c r="T36" i="9" l="1"/>
  <c r="W36" i="9" s="1"/>
  <c r="C36" i="9"/>
  <c r="A37" i="9"/>
  <c r="S36" i="9"/>
  <c r="V36" i="9" s="1"/>
  <c r="I36" i="9"/>
  <c r="P36" i="9"/>
  <c r="B36" i="9"/>
  <c r="O36" i="9"/>
  <c r="R36" i="9"/>
  <c r="U36" i="9" s="1"/>
  <c r="T37" i="9" l="1"/>
  <c r="W37" i="9" s="1"/>
  <c r="A38" i="9"/>
  <c r="S37" i="9"/>
  <c r="V37" i="9" s="1"/>
  <c r="I37" i="9"/>
  <c r="C37" i="9"/>
  <c r="O37" i="9"/>
  <c r="B37" i="9"/>
  <c r="P37" i="9"/>
  <c r="R37" i="9"/>
  <c r="U37" i="9" s="1"/>
  <c r="T38" i="9" l="1"/>
  <c r="W38" i="9" s="1"/>
  <c r="A39" i="9"/>
  <c r="C38" i="9"/>
  <c r="S38" i="9"/>
  <c r="V38" i="9" s="1"/>
  <c r="I38" i="9"/>
  <c r="B38" i="9"/>
  <c r="O38" i="9"/>
  <c r="P38" i="9"/>
  <c r="R38" i="9"/>
  <c r="U38" i="9" s="1"/>
  <c r="A40" i="9" l="1"/>
  <c r="T39" i="9"/>
  <c r="W39" i="9" s="1"/>
  <c r="S39" i="9"/>
  <c r="V39" i="9" s="1"/>
  <c r="C39" i="9"/>
  <c r="I39" i="9"/>
  <c r="B39" i="9"/>
  <c r="O39" i="9"/>
  <c r="P39" i="9"/>
  <c r="R39" i="9"/>
  <c r="U39" i="9" s="1"/>
  <c r="T40" i="9" l="1"/>
  <c r="W40" i="9" s="1"/>
  <c r="C40" i="9"/>
  <c r="A41" i="9"/>
  <c r="S40" i="9"/>
  <c r="V40" i="9" s="1"/>
  <c r="I40" i="9"/>
  <c r="R40" i="9"/>
  <c r="U40" i="9" s="1"/>
  <c r="B40" i="9"/>
  <c r="O40" i="9"/>
  <c r="P40" i="9"/>
  <c r="T41" i="9" l="1"/>
  <c r="W41" i="9" s="1"/>
  <c r="A42" i="9"/>
  <c r="C41" i="9"/>
  <c r="S41" i="9"/>
  <c r="V41" i="9" s="1"/>
  <c r="I41" i="9"/>
  <c r="P41" i="9"/>
  <c r="R41" i="9"/>
  <c r="U41" i="9" s="1"/>
  <c r="B41" i="9"/>
  <c r="O41" i="9"/>
  <c r="T42" i="9" l="1"/>
  <c r="W42" i="9" s="1"/>
  <c r="A43" i="9"/>
  <c r="C42" i="9"/>
  <c r="S42" i="9"/>
  <c r="V42" i="9" s="1"/>
  <c r="I42" i="9"/>
  <c r="O42" i="9"/>
  <c r="P42" i="9"/>
  <c r="R42" i="9"/>
  <c r="U42" i="9" s="1"/>
  <c r="B42" i="9"/>
  <c r="A44" i="9" l="1"/>
  <c r="T43" i="9"/>
  <c r="W43" i="9" s="1"/>
  <c r="C43" i="9"/>
  <c r="S43" i="9"/>
  <c r="V43" i="9" s="1"/>
  <c r="I43" i="9"/>
  <c r="B43" i="9"/>
  <c r="O43" i="9"/>
  <c r="P43" i="9"/>
  <c r="R43" i="9"/>
  <c r="U43" i="9" s="1"/>
  <c r="T44" i="9" l="1"/>
  <c r="W44" i="9" s="1"/>
  <c r="C44" i="9"/>
  <c r="S44" i="9"/>
  <c r="V44" i="9" s="1"/>
  <c r="A45" i="9"/>
  <c r="I44" i="9"/>
  <c r="R44" i="9"/>
  <c r="U44" i="9" s="1"/>
  <c r="B44" i="9"/>
  <c r="O44" i="9"/>
  <c r="P44" i="9"/>
  <c r="T45" i="9" l="1"/>
  <c r="W45" i="9" s="1"/>
  <c r="A46" i="9"/>
  <c r="C45" i="9"/>
  <c r="S45" i="9"/>
  <c r="V45" i="9" s="1"/>
  <c r="I45" i="9"/>
  <c r="P45" i="9"/>
  <c r="R45" i="9"/>
  <c r="U45" i="9" s="1"/>
  <c r="B45" i="9"/>
  <c r="O45" i="9"/>
  <c r="T46" i="9" l="1"/>
  <c r="W46" i="9" s="1"/>
  <c r="W47" i="9" s="1"/>
  <c r="W49" i="9" s="1"/>
  <c r="C46" i="9"/>
  <c r="S46" i="9"/>
  <c r="V46" i="9" s="1"/>
  <c r="V47" i="9" s="1"/>
  <c r="V49" i="9" s="1"/>
  <c r="C51" i="9" s="1"/>
  <c r="I46" i="9"/>
  <c r="O46" i="9"/>
  <c r="P46" i="9"/>
  <c r="R46" i="9"/>
  <c r="U46" i="9" s="1"/>
  <c r="U47" i="9" s="1"/>
  <c r="U49" i="9" s="1"/>
  <c r="B46" i="9"/>
  <c r="AK946" i="7"/>
  <c r="AK78" i="7"/>
  <c r="AK811" i="7"/>
  <c r="AK405" i="7"/>
  <c r="AK282" i="7"/>
  <c r="AK580" i="7"/>
  <c r="AK938" i="7"/>
  <c r="AK254" i="7"/>
  <c r="AK870" i="7"/>
  <c r="AK374" i="7"/>
  <c r="AK30" i="7"/>
  <c r="AK438" i="7"/>
  <c r="AK986" i="7"/>
  <c r="AK863" i="7"/>
  <c r="AK764" i="7"/>
  <c r="AK385" i="7"/>
  <c r="AK853" i="7"/>
  <c r="AK386" i="7"/>
  <c r="AK599" i="7"/>
  <c r="AK295" i="7"/>
  <c r="AK975" i="7"/>
  <c r="AK990" i="7"/>
  <c r="AK648" i="7"/>
  <c r="AK929" i="7"/>
  <c r="AK531" i="7"/>
  <c r="AK335" i="7"/>
  <c r="AK878" i="7"/>
  <c r="AK424" i="7"/>
  <c r="AK939" i="7"/>
  <c r="AK129" i="7"/>
  <c r="AK160" i="7"/>
  <c r="AK418" i="7"/>
  <c r="AK487" i="7"/>
  <c r="AK16" i="7"/>
  <c r="AK270" i="7"/>
  <c r="AK554" i="7"/>
  <c r="AK765" i="7"/>
  <c r="AK126" i="7"/>
  <c r="AK148" i="7"/>
  <c r="AK566" i="7"/>
  <c r="AK873" i="7"/>
  <c r="AK902" i="7"/>
  <c r="AK192" i="7"/>
  <c r="AK184" i="7"/>
  <c r="AK796" i="7"/>
  <c r="AK466" i="7"/>
  <c r="AK790" i="7"/>
  <c r="AK43" i="7"/>
  <c r="AK35" i="7"/>
  <c r="AK187" i="7"/>
  <c r="AK228" i="7"/>
  <c r="AK547" i="7"/>
  <c r="AK101" i="7"/>
  <c r="AK361" i="7"/>
  <c r="AK299" i="7"/>
  <c r="AK410" i="7"/>
  <c r="AK111" i="7"/>
  <c r="AK913" i="7"/>
  <c r="AK11" i="7"/>
  <c r="AK578" i="7"/>
  <c r="AK608" i="7"/>
  <c r="AK147" i="7"/>
  <c r="AK984" i="7"/>
  <c r="AK501" i="7"/>
  <c r="AK34" i="7"/>
  <c r="AK252" i="7"/>
  <c r="AK923" i="7"/>
  <c r="AK315" i="7"/>
  <c r="AK389" i="7"/>
  <c r="AK808" i="7"/>
  <c r="AK347" i="7"/>
  <c r="AK810" i="7"/>
  <c r="AK201" i="7"/>
  <c r="AK698" i="7"/>
  <c r="AK294" i="7"/>
  <c r="AK143" i="7"/>
  <c r="AK355" i="7"/>
  <c r="AK42" i="7"/>
  <c r="AK248" i="7"/>
  <c r="AK464" i="7"/>
  <c r="AK157" i="7"/>
  <c r="AK74" i="7"/>
  <c r="AK697" i="7"/>
  <c r="AK655" i="7"/>
  <c r="AK267" i="7"/>
  <c r="AK987" i="7"/>
  <c r="AK472" i="7"/>
  <c r="AK585" i="7"/>
  <c r="AK445" i="7"/>
  <c r="AK924" i="7"/>
  <c r="AK716" i="7"/>
  <c r="AK888" i="7"/>
  <c r="AK719" i="7"/>
  <c r="AK133" i="7"/>
  <c r="AK488" i="7"/>
  <c r="AK25" i="7"/>
  <c r="AK769" i="7"/>
  <c r="AK981" i="7"/>
  <c r="AK514" i="7"/>
  <c r="AK256" i="7"/>
  <c r="AK61" i="7"/>
  <c r="AK600" i="7"/>
  <c r="AK437" i="7"/>
  <c r="AK904" i="7"/>
  <c r="AK971" i="7"/>
  <c r="AK411" i="7"/>
  <c r="AK59" i="7"/>
  <c r="AK325" i="7"/>
  <c r="AK680" i="7"/>
  <c r="AK868" i="7"/>
  <c r="AK141" i="7"/>
  <c r="AK70" i="7"/>
  <c r="AK761" i="7"/>
  <c r="AK880" i="7"/>
  <c r="AK801" i="7"/>
  <c r="AK163" i="7"/>
  <c r="AK486" i="7"/>
  <c r="AK439" i="7"/>
  <c r="AK747" i="7"/>
  <c r="AK151" i="7"/>
  <c r="AK255" i="7"/>
  <c r="AK848" i="7"/>
  <c r="AK460" i="7"/>
  <c r="AK666" i="7"/>
  <c r="AK889" i="7"/>
  <c r="AK321" i="7"/>
  <c r="AK624" i="7"/>
  <c r="AK264" i="7"/>
  <c r="AK330" i="7"/>
  <c r="AK777" i="7"/>
  <c r="AK582" i="7"/>
  <c r="AK63" i="7"/>
  <c r="AK79" i="7"/>
  <c r="AK387" i="7"/>
  <c r="AK567" i="7"/>
  <c r="AK319" i="7"/>
  <c r="AK950" i="7"/>
  <c r="AK5" i="7"/>
  <c r="AK349" i="7"/>
  <c r="AK384" i="7"/>
  <c r="AK372" i="7"/>
  <c r="AK423" i="7"/>
  <c r="AK850" i="7"/>
  <c r="AK918" i="7"/>
  <c r="AK213" i="7"/>
  <c r="AK205" i="7"/>
  <c r="AK307" i="7"/>
  <c r="AK695" i="7"/>
  <c r="AK596" i="7"/>
  <c r="AK740" i="7"/>
  <c r="AK274" i="7"/>
  <c r="AK919" i="7"/>
  <c r="AK649" i="7"/>
  <c r="AK856" i="7"/>
  <c r="AK166" i="7"/>
  <c r="AK908" i="7"/>
  <c r="AK657" i="7"/>
  <c r="AK964" i="7"/>
  <c r="AK371" i="7"/>
  <c r="AK245" i="7"/>
  <c r="AK859" i="7"/>
  <c r="AK376" i="7"/>
  <c r="AK569" i="7"/>
  <c r="AK819" i="7"/>
  <c r="AK96" i="7"/>
  <c r="AK81" i="7"/>
  <c r="AK847" i="7"/>
  <c r="AK457" i="7"/>
  <c r="AK614" i="7"/>
  <c r="AK602" i="7"/>
  <c r="AK243" i="7"/>
  <c r="AK515" i="7"/>
  <c r="AK58" i="7"/>
  <c r="AK562" i="7"/>
  <c r="AK746" i="7"/>
  <c r="AK899" i="7"/>
  <c r="AK446" i="7"/>
  <c r="AK703" i="7"/>
  <c r="AK845" i="7"/>
  <c r="AK80" i="7"/>
  <c r="AK541" i="7"/>
  <c r="AK768" i="7"/>
  <c r="AK756" i="7"/>
  <c r="AK432" i="7"/>
  <c r="AK563" i="7"/>
  <c r="AK429" i="7"/>
  <c r="AK544" i="7"/>
  <c r="AK532" i="7"/>
  <c r="AK759" i="7"/>
  <c r="AK907" i="7"/>
  <c r="AK534" i="7"/>
  <c r="AK183" i="7"/>
  <c r="AK603" i="7"/>
  <c r="AK974" i="7"/>
  <c r="AK91" i="7"/>
  <c r="AK684" i="7"/>
  <c r="AK636" i="7"/>
  <c r="AK789" i="7"/>
  <c r="AK249" i="7"/>
  <c r="AK623" i="7"/>
  <c r="AK926" i="7"/>
  <c r="AK433" i="7"/>
  <c r="AK73" i="7"/>
  <c r="AK304" i="7"/>
  <c r="AK178" i="7"/>
  <c r="AK176" i="7"/>
  <c r="AK239" i="7"/>
  <c r="AK872" i="7"/>
  <c r="AK452" i="7"/>
  <c r="AK64" i="7"/>
  <c r="AK540" i="7"/>
  <c r="AK262" i="7"/>
  <c r="AK323" i="7"/>
  <c r="AK340" i="7"/>
  <c r="AK876" i="7"/>
  <c r="AK591" i="7"/>
  <c r="AK459" i="7"/>
  <c r="AK142" i="7"/>
  <c r="AK306" i="7"/>
  <c r="AK903" i="7"/>
  <c r="AK223" i="7"/>
  <c r="AK485" i="7"/>
  <c r="AK673" i="7"/>
  <c r="AK482" i="7"/>
  <c r="AK732" i="7"/>
  <c r="AK837" i="7"/>
  <c r="AK19" i="7"/>
  <c r="AK925" i="7"/>
  <c r="AK982" i="7"/>
  <c r="AK172" i="7"/>
  <c r="AK320" i="7"/>
  <c r="AK551" i="7"/>
  <c r="AK454" i="7"/>
  <c r="AK491" i="7"/>
  <c r="AK351" i="7"/>
  <c r="AK207" i="7"/>
  <c r="AK408" i="7"/>
  <c r="AK284" i="7"/>
  <c r="AK539" i="7"/>
  <c r="AK712" i="7"/>
  <c r="AK7" i="7"/>
  <c r="AK478" i="7"/>
  <c r="AK781" i="7"/>
  <c r="AK8" i="7"/>
  <c r="AK543" i="7"/>
  <c r="AK917" i="7"/>
  <c r="AK383" i="7"/>
  <c r="AK686" i="7"/>
  <c r="AK180" i="7"/>
  <c r="AK235" i="7"/>
  <c r="AK217" i="7"/>
  <c r="AK390" i="7"/>
  <c r="AK92" i="7"/>
  <c r="AK84" i="7"/>
  <c r="AK121" i="7"/>
  <c r="AK211" i="7"/>
  <c r="AK556" i="7"/>
  <c r="AK875" i="7"/>
  <c r="AK49" i="7"/>
  <c r="AK106" i="7"/>
  <c r="AK66" i="7"/>
  <c r="AK731" i="7"/>
  <c r="AK259" i="7"/>
  <c r="AK112" i="7"/>
  <c r="AK963" i="7"/>
  <c r="AK558" i="7"/>
  <c r="AK318" i="7"/>
  <c r="AK185" i="7"/>
  <c r="AK893" i="7"/>
  <c r="AK473" i="7"/>
  <c r="AK153" i="7"/>
  <c r="AK23" i="7"/>
  <c r="AK864" i="7"/>
  <c r="AK721" i="7"/>
  <c r="AK498" i="7"/>
  <c r="AK194" i="7"/>
  <c r="AK279" i="7"/>
  <c r="AK619" i="7"/>
  <c r="AK659" i="7"/>
  <c r="AK894" i="7"/>
  <c r="AK922" i="7"/>
  <c r="AK989" i="7"/>
  <c r="AK511" i="7"/>
  <c r="AK144" i="7"/>
  <c r="AK238" i="7"/>
  <c r="AK852" i="7"/>
  <c r="AK87" i="7"/>
  <c r="AK168" i="7"/>
  <c r="AK339" i="7"/>
  <c r="AK115" i="7"/>
  <c r="AK665" i="7"/>
  <c r="AK455" i="7"/>
  <c r="AK109" i="7"/>
  <c r="AK526" i="7"/>
  <c r="AK14" i="7"/>
  <c r="AK690" i="7"/>
  <c r="AK353" i="7"/>
  <c r="AK669" i="7"/>
  <c r="AK280" i="7"/>
  <c r="AK995" i="7"/>
  <c r="AK996" i="7"/>
  <c r="AK152" i="7"/>
  <c r="AK835" i="7"/>
  <c r="AK510" i="7"/>
  <c r="AK6" i="7"/>
  <c r="AK605" i="7"/>
  <c r="AK884" i="7"/>
  <c r="AK676" i="7"/>
  <c r="AK672" i="7"/>
  <c r="AK846" i="7"/>
  <c r="AK978" i="7"/>
  <c r="AK687" i="7"/>
  <c r="AK905" i="7"/>
  <c r="AK422" i="7"/>
  <c r="AK263" i="7"/>
  <c r="AK980" i="7"/>
  <c r="AK332" i="7"/>
  <c r="AK825" i="7"/>
  <c r="AK496" i="7"/>
  <c r="AK122" i="7"/>
  <c r="AK701" i="7"/>
  <c r="AK631" i="7"/>
  <c r="AK897" i="7"/>
  <c r="AK833" i="7"/>
  <c r="AK702" i="7"/>
  <c r="AK911" i="7"/>
  <c r="AK797" i="7"/>
  <c r="AK191" i="7"/>
  <c r="AK947" i="7"/>
  <c r="AK46" i="7"/>
  <c r="AK4" i="7"/>
  <c r="AK638" i="7"/>
  <c r="AK458" i="7"/>
  <c r="AK94" i="7"/>
  <c r="AK310" i="7"/>
  <c r="AK621" i="7"/>
  <c r="AK916" i="7"/>
  <c r="AK574" i="7"/>
  <c r="AK24" i="7"/>
  <c r="AK199" i="7"/>
  <c r="AK525" i="7"/>
  <c r="AK723" i="7"/>
  <c r="AK409" i="7"/>
  <c r="AK68" i="7"/>
  <c r="AK12" i="7"/>
  <c r="AK480" i="7"/>
  <c r="AK529" i="7"/>
  <c r="AK434" i="7"/>
  <c r="AK451" i="7"/>
  <c r="AK468" i="7"/>
  <c r="AK268" i="7"/>
  <c r="AK607" i="7"/>
  <c r="AK588" i="7"/>
  <c r="AK953" i="7"/>
  <c r="AK752" i="7"/>
  <c r="AK522" i="7"/>
  <c r="AK316" i="7"/>
  <c r="AK107" i="7"/>
  <c r="AK826" i="7"/>
  <c r="AK530" i="7"/>
  <c r="AK108" i="7"/>
  <c r="AK770" i="7"/>
  <c r="AK444" i="7"/>
  <c r="AK693" i="7"/>
  <c r="AK812" i="7"/>
  <c r="AK250" i="7"/>
  <c r="AK114" i="7"/>
  <c r="AK447" i="7"/>
  <c r="AK272" i="7"/>
  <c r="AK507" i="7"/>
  <c r="AK742" i="7"/>
  <c r="AK635" i="7"/>
  <c r="AK616" i="7"/>
  <c r="AK972" i="7"/>
  <c r="AK216" i="7"/>
  <c r="AK86" i="7"/>
  <c r="AK417" i="7"/>
  <c r="AK415" i="7"/>
  <c r="AK775" i="7"/>
  <c r="AK881" i="7"/>
  <c r="AK787" i="7"/>
  <c r="AK154" i="7"/>
  <c r="AK625" i="7"/>
  <c r="AK117" i="7"/>
  <c r="AK822" i="7"/>
  <c r="AK780" i="7"/>
  <c r="AK991" i="7"/>
  <c r="AK499" i="7"/>
  <c r="AK462" i="7"/>
  <c r="AK630" i="7"/>
  <c r="AK555" i="7"/>
  <c r="AK528" i="7"/>
  <c r="AK200" i="7"/>
  <c r="AK186" i="7"/>
  <c r="AK729" i="7"/>
  <c r="AK37" i="7"/>
  <c r="AK583" i="7"/>
  <c r="AK156" i="7"/>
  <c r="AK388" i="7"/>
  <c r="AK866" i="7"/>
  <c r="AK718" i="7"/>
  <c r="AK359" i="7"/>
  <c r="AK739" i="7"/>
  <c r="AK443" i="7"/>
  <c r="AK754" i="7"/>
  <c r="AK203" i="7"/>
  <c r="AK962" i="7"/>
  <c r="AK394" i="7"/>
  <c r="AK807" i="7"/>
  <c r="AK557" i="7"/>
  <c r="AK291" i="7"/>
  <c r="AK273" i="7"/>
  <c r="AK104" i="7"/>
  <c r="AK792" i="7"/>
  <c r="AK469" i="7"/>
  <c r="AK968" i="7"/>
  <c r="AK851" i="7"/>
  <c r="AK771" i="7"/>
  <c r="AK955" i="7"/>
  <c r="AK606" i="7"/>
  <c r="AK27" i="7"/>
  <c r="AK311" i="7"/>
  <c r="AK785" i="7"/>
  <c r="AK683" i="7"/>
  <c r="AK494" i="7"/>
  <c r="AK799" i="7"/>
  <c r="AK425" i="7"/>
  <c r="AK932" i="7"/>
  <c r="AK317" i="7"/>
  <c r="AK162" i="7"/>
  <c r="AK89" i="7"/>
  <c r="AK173" i="7"/>
  <c r="AK352" i="7"/>
  <c r="AK912" i="7"/>
  <c r="AK524" i="7"/>
  <c r="AK762" i="7"/>
  <c r="AK921" i="7"/>
  <c r="AK513" i="7"/>
  <c r="AK967" i="7"/>
  <c r="AK467" i="7"/>
  <c r="AK367" i="7"/>
  <c r="AK377" i="7"/>
  <c r="AK613" i="7"/>
  <c r="AK743" i="7"/>
  <c r="AK715" i="7"/>
  <c r="AK836" i="7"/>
  <c r="AK246" i="7"/>
  <c r="AK116" i="7"/>
  <c r="AK736" i="7"/>
  <c r="AK170" i="7"/>
  <c r="AK637" i="7"/>
  <c r="AK960" i="7"/>
  <c r="AK948" i="7"/>
  <c r="AK182" i="7"/>
  <c r="AK745" i="7"/>
  <c r="AK774" i="7"/>
  <c r="AK21" i="7"/>
  <c r="AK891" i="7"/>
  <c r="AK125" i="7"/>
  <c r="AK82" i="7"/>
  <c r="AK662" i="7"/>
  <c r="AK791" i="7"/>
  <c r="AK103" i="7"/>
  <c r="AK909" i="7"/>
  <c r="AK285" i="7"/>
  <c r="AK579" i="7"/>
  <c r="AK629" i="7"/>
  <c r="AK724" i="7"/>
  <c r="AK36" i="7"/>
  <c r="AK393" i="7"/>
  <c r="AK772" i="7"/>
  <c r="AK784" i="7"/>
  <c r="AK396" i="7"/>
  <c r="AK570" i="7"/>
  <c r="AK857" i="7"/>
  <c r="AK618" i="7"/>
  <c r="AK839" i="7"/>
  <c r="AK76" i="7"/>
  <c r="AK95" i="7"/>
  <c r="AK994" i="7"/>
  <c r="AK421" i="7"/>
  <c r="AK615" i="7"/>
  <c r="AK241" i="7"/>
  <c r="AK484" i="7"/>
  <c r="AK882" i="7"/>
  <c r="AK656" i="7"/>
  <c r="AK537" i="7"/>
  <c r="AK15" i="7"/>
  <c r="AK973" i="7"/>
  <c r="AK324" i="7"/>
  <c r="AK552" i="7"/>
  <c r="AK495" i="7"/>
  <c r="AK829" i="7"/>
  <c r="AK190" i="7"/>
  <c r="AK233" i="7"/>
  <c r="AK758" i="7"/>
  <c r="AK937" i="7"/>
  <c r="AK966" i="7"/>
  <c r="AK277" i="7"/>
  <c r="AK269" i="7"/>
  <c r="AK132" i="7"/>
  <c r="AK658" i="7"/>
  <c r="AK854" i="7"/>
  <c r="AK128" i="7"/>
  <c r="AK120" i="7"/>
  <c r="AK890" i="7"/>
  <c r="AK283" i="7"/>
  <c r="AK795" i="7"/>
  <c r="AK314" i="7"/>
  <c r="AK275" i="7"/>
  <c r="AK597" i="7"/>
  <c r="AK130" i="7"/>
  <c r="AK221" i="7"/>
  <c r="AK523" i="7"/>
  <c r="AK612" i="7"/>
  <c r="AK734" i="7"/>
  <c r="AK197" i="7"/>
  <c r="AK527" i="7"/>
  <c r="AK215" i="7"/>
  <c r="AK67" i="7"/>
  <c r="AK622" i="7"/>
  <c r="AK48" i="7"/>
  <c r="AK88" i="7"/>
  <c r="AK229" i="7"/>
  <c r="AK828" i="7"/>
  <c r="AK776" i="7"/>
  <c r="AK604" i="7"/>
  <c r="AK517" i="7"/>
  <c r="AK71" i="7"/>
  <c r="AK568" i="7"/>
  <c r="AK509" i="7"/>
  <c r="AK704" i="7"/>
  <c r="AK692" i="7"/>
  <c r="AK560" i="7"/>
  <c r="AK489" i="7"/>
  <c r="AK646" i="7"/>
  <c r="AK17" i="7"/>
  <c r="AK360" i="7"/>
  <c r="AK535" i="7"/>
  <c r="AK54" i="7"/>
  <c r="AK885" i="7"/>
  <c r="AK407" i="7"/>
  <c r="AK874" i="7"/>
  <c r="AK322" i="7"/>
  <c r="AK915" i="7"/>
  <c r="AK520" i="7"/>
  <c r="AK119" i="7"/>
  <c r="AK814" i="7"/>
  <c r="AK755" i="7"/>
  <c r="AK208" i="7"/>
  <c r="AK26" i="7"/>
  <c r="AK47" i="7"/>
  <c r="AK654" i="7"/>
  <c r="AK550" i="7"/>
  <c r="AK435" i="7"/>
  <c r="AK997" i="7"/>
  <c r="AK51" i="7"/>
  <c r="AK806" i="7"/>
  <c r="AK56" i="7"/>
  <c r="AK18" i="7"/>
  <c r="AK100" i="7"/>
  <c r="AK244" i="7"/>
  <c r="AK150" i="7"/>
  <c r="AK609" i="7"/>
  <c r="AK490" i="7"/>
  <c r="AK286" i="7"/>
  <c r="AK419" i="7"/>
  <c r="AK681" i="7"/>
  <c r="AK247" i="7"/>
  <c r="AK345" i="7"/>
  <c r="AK956" i="7"/>
  <c r="AK949" i="7"/>
  <c r="AK171" i="7"/>
  <c r="AK337" i="7"/>
  <c r="AK370" i="7"/>
  <c r="AK840" i="7"/>
  <c r="AK412" i="7"/>
  <c r="AK788" i="7"/>
  <c r="AK998" i="7"/>
  <c r="AK312" i="7"/>
  <c r="AK594" i="7"/>
  <c r="AK375" i="7"/>
  <c r="AK794" i="7"/>
  <c r="AK342" i="7"/>
  <c r="AK643" i="7"/>
  <c r="AK289" i="7"/>
  <c r="AK705" i="7"/>
  <c r="AK123" i="7"/>
  <c r="AK341" i="7"/>
  <c r="AK236" i="7"/>
  <c r="AK305" i="7"/>
  <c r="AK767" i="7"/>
  <c r="AK506" i="7"/>
  <c r="AK366" i="7"/>
  <c r="AK338" i="7"/>
  <c r="AK33" i="7"/>
  <c r="AK39" i="7"/>
  <c r="AK333" i="7"/>
  <c r="AK934" i="7"/>
  <c r="AK227" i="7"/>
  <c r="AK402" i="7"/>
  <c r="AK271" i="7"/>
  <c r="AK218" i="7"/>
  <c r="AK278" i="7"/>
  <c r="AK707" i="7"/>
  <c r="AK577" i="7"/>
  <c r="AK798" i="7"/>
  <c r="AK492" i="7"/>
  <c r="AK189" i="7"/>
  <c r="AK533" i="7"/>
  <c r="AK113" i="7"/>
  <c r="AK670" i="7"/>
  <c r="AK516" i="7"/>
  <c r="AK60" i="7"/>
  <c r="AK927" i="7"/>
  <c r="AK293" i="7"/>
  <c r="AK688" i="7"/>
  <c r="AK943" i="7"/>
  <c r="AK869" i="7"/>
  <c r="AK945" i="7"/>
  <c r="AK610" i="7"/>
  <c r="AK988" i="7"/>
  <c r="AK965" i="7"/>
  <c r="AK892" i="7"/>
  <c r="AK691" i="7"/>
  <c r="AK726" i="7"/>
  <c r="AK234" i="7"/>
  <c r="AK431" i="7"/>
  <c r="AK456" i="7"/>
  <c r="AK545" i="7"/>
  <c r="AK350" i="7"/>
  <c r="AK397" i="7"/>
  <c r="AK877" i="7"/>
  <c r="AK297" i="7"/>
  <c r="AK661" i="7"/>
  <c r="AK895" i="7"/>
  <c r="AK773" i="7"/>
  <c r="AK400" i="7"/>
  <c r="AK920" i="7"/>
  <c r="AK31" i="7"/>
  <c r="AK44" i="7"/>
  <c r="AK802" i="7"/>
  <c r="AK260" i="7"/>
  <c r="AK140" i="7"/>
  <c r="AK521" i="7"/>
  <c r="AK102" i="7"/>
  <c r="AK479" i="7"/>
  <c r="AK298" i="7"/>
  <c r="AK328" i="7"/>
  <c r="AK85" i="7"/>
  <c r="AK741" i="7"/>
  <c r="AK55" i="7"/>
  <c r="AK831" i="7"/>
  <c r="AK90" i="7"/>
  <c r="AK896" i="7"/>
  <c r="AK816" i="7"/>
  <c r="AK493" i="7"/>
  <c r="AK660" i="7"/>
  <c r="AK62" i="7"/>
  <c r="AK369" i="7"/>
  <c r="AK800" i="7"/>
  <c r="AK593" i="7"/>
  <c r="AK313" i="7"/>
  <c r="AK497" i="7"/>
  <c r="AK720" i="7"/>
  <c r="AK474" i="7"/>
  <c r="AK426" i="7"/>
  <c r="AK179" i="7"/>
  <c r="AK713" i="7"/>
  <c r="AK224" i="7"/>
  <c r="AK855" i="7"/>
  <c r="AK664" i="7"/>
  <c r="AK420" i="7"/>
  <c r="AK155" i="7"/>
  <c r="AK650" i="7"/>
  <c r="AK158" i="7"/>
  <c r="AK502" i="7"/>
  <c r="AK685" i="7"/>
  <c r="AK41" i="7"/>
  <c r="AK206" i="7"/>
  <c r="AK730" i="7"/>
  <c r="AK303" i="7"/>
  <c r="AK914" i="7"/>
  <c r="AK647" i="7"/>
  <c r="AK331" i="7"/>
  <c r="AK548" i="7"/>
  <c r="AK898" i="7"/>
  <c r="AK782" i="7"/>
  <c r="AK700" i="7"/>
  <c r="AK970" i="7"/>
  <c r="AK821" i="7"/>
  <c r="AK354" i="7"/>
  <c r="AK471" i="7"/>
  <c r="AK476" i="7"/>
  <c r="AK634" i="7"/>
  <c r="AK709" i="7"/>
  <c r="AK242" i="7"/>
  <c r="AK204" i="7"/>
  <c r="AK959" i="7"/>
  <c r="AK413" i="7"/>
  <c r="AK214" i="7"/>
  <c r="AK714" i="7"/>
  <c r="AK427" i="7"/>
  <c r="AK675" i="7"/>
  <c r="AK131" i="7"/>
  <c r="AK69" i="7"/>
  <c r="AK900" i="7"/>
  <c r="AK733" i="7"/>
  <c r="AK105" i="7"/>
  <c r="AK760" i="7"/>
  <c r="AK928" i="7"/>
  <c r="AK933" i="7"/>
  <c r="AK500" i="7"/>
  <c r="AK942" i="7"/>
  <c r="AK32" i="7"/>
  <c r="AK559" i="7"/>
  <c r="AK677" i="7"/>
  <c r="AK865" i="7"/>
  <c r="AK546" i="7"/>
  <c r="AK860" i="7"/>
  <c r="AK901" i="7"/>
  <c r="AK793" i="7"/>
  <c r="AK505" i="7"/>
  <c r="AK167" i="7"/>
  <c r="AK395" i="7"/>
  <c r="AK976" i="7"/>
  <c r="AK858" i="7"/>
  <c r="AK867" i="7"/>
  <c r="AK364" i="7"/>
  <c r="AK841" i="7"/>
  <c r="AK461" i="7"/>
  <c r="AK428" i="7"/>
  <c r="AK50" i="7"/>
  <c r="AK391" i="7"/>
  <c r="AK827" i="7"/>
  <c r="AK398" i="7"/>
  <c r="AK586" i="7"/>
  <c r="AK226" i="7"/>
  <c r="AK253" i="7"/>
  <c r="AK581" i="7"/>
  <c r="AK449" i="7"/>
  <c r="AK838" i="7"/>
  <c r="AK470" i="7"/>
  <c r="AK722" i="7"/>
  <c r="AK951" i="7"/>
  <c r="AK296" i="7"/>
  <c r="AK198" i="7"/>
  <c r="AK753" i="7"/>
  <c r="AK77" i="7"/>
  <c r="AK748" i="7"/>
  <c r="AK348" i="7"/>
  <c r="AK728" i="7"/>
  <c r="AK763" i="7"/>
  <c r="AK57" i="7"/>
  <c r="AK824" i="7"/>
  <c r="AK711" i="7"/>
  <c r="AK219" i="7"/>
  <c r="AK651" i="7"/>
  <c r="AK862" i="7"/>
  <c r="AK940" i="7"/>
  <c r="AK682" i="7"/>
  <c r="AK212" i="7"/>
  <c r="AK587" i="7"/>
  <c r="AK329" i="7"/>
  <c r="AK871" i="7"/>
  <c r="AK565" i="7"/>
  <c r="AK992" i="7"/>
  <c r="AK652" i="7"/>
  <c r="AK667" i="7"/>
  <c r="AK346" i="7"/>
  <c r="AK475" i="7"/>
  <c r="AK639" i="7"/>
  <c r="AK737" i="7"/>
  <c r="AK958" i="7"/>
  <c r="AK53" i="7"/>
  <c r="AK512" i="7"/>
  <c r="AK969" i="7"/>
  <c r="AK22" i="7"/>
  <c r="AK561" i="7"/>
  <c r="AK261" i="7"/>
  <c r="AK823" i="7"/>
  <c r="AK668" i="7"/>
  <c r="AK99" i="7"/>
  <c r="AK363" i="7"/>
  <c r="AK749" i="7"/>
  <c r="AK97" i="7"/>
  <c r="AK786" i="7"/>
  <c r="AK448" i="7"/>
  <c r="AK343" i="7"/>
  <c r="AK592" i="7"/>
  <c r="AK645" i="7"/>
  <c r="AK138" i="7"/>
  <c r="AK414" i="7"/>
  <c r="AK817" i="7"/>
  <c r="AK815" i="7"/>
  <c r="AK595" i="7"/>
  <c r="AK571" i="7"/>
  <c r="AK906" i="7"/>
  <c r="AK883" i="7"/>
  <c r="AK844" i="7"/>
  <c r="AK40" i="7"/>
  <c r="AK678" i="7"/>
  <c r="AK174" i="7"/>
  <c r="AK266" i="7"/>
  <c r="AK127" i="7"/>
  <c r="AK356" i="7"/>
  <c r="AK751" i="7"/>
  <c r="AK13" i="7"/>
  <c r="AK977" i="7"/>
  <c r="AK717" i="7"/>
  <c r="AK809" i="7"/>
  <c r="AK302" i="7"/>
  <c r="AK589" i="7"/>
  <c r="AK65" i="7"/>
  <c r="AK584" i="7"/>
  <c r="AK124" i="7"/>
  <c r="AK910" i="7"/>
  <c r="AK137" i="7"/>
  <c r="AK620" i="7"/>
  <c r="AK803" i="7"/>
  <c r="AK134" i="7"/>
  <c r="AK188" i="7"/>
  <c r="AK231" i="7"/>
  <c r="AK401" i="7"/>
  <c r="AK830" i="7"/>
  <c r="AK110" i="7"/>
  <c r="AK518" i="7"/>
  <c r="AK436" i="7"/>
  <c r="AK779" i="7"/>
  <c r="AK28" i="7"/>
  <c r="AK744" i="7"/>
  <c r="AK10" i="7"/>
  <c r="AK999" i="7"/>
  <c r="AK750" i="7"/>
  <c r="AK265" i="7"/>
  <c r="AK508" i="7"/>
  <c r="AK699" i="7"/>
  <c r="AK136" i="7"/>
  <c r="AK642" i="7"/>
  <c r="AK195" i="7"/>
  <c r="AK442" i="7"/>
  <c r="AK336" i="7"/>
  <c r="AK849" i="7"/>
  <c r="AK674" i="7"/>
  <c r="AK708" i="7"/>
  <c r="AK403" i="7"/>
  <c r="AK169" i="7"/>
  <c r="AK358" i="7"/>
  <c r="AK689" i="7"/>
  <c r="AK240" i="7"/>
  <c r="AK225" i="7"/>
  <c r="AK941" i="7"/>
  <c r="AK572" i="7"/>
  <c r="AK309" i="7"/>
  <c r="AK727" i="7"/>
  <c r="AK628" i="7"/>
  <c r="AK382" i="7"/>
  <c r="AK930" i="7"/>
  <c r="AK696" i="7"/>
  <c r="AK842" i="7"/>
  <c r="AK146" i="7"/>
  <c r="AK165" i="7"/>
  <c r="AK710" i="7"/>
  <c r="AK483" i="7"/>
  <c r="AK281" i="7"/>
  <c r="AK738" i="7"/>
  <c r="AK536" i="7"/>
  <c r="AK632" i="7"/>
  <c r="AK292" i="7"/>
  <c r="AK75" i="7"/>
  <c r="AK783" i="7"/>
  <c r="AK993" i="7"/>
  <c r="AK379" i="7"/>
  <c r="AK832" i="7"/>
  <c r="AK251" i="7"/>
  <c r="AK175" i="7"/>
  <c r="AK45" i="7"/>
  <c r="AK818" i="7"/>
  <c r="AK679" i="7"/>
  <c r="AK276" i="7"/>
  <c r="AK135" i="7"/>
  <c r="AK373" i="7"/>
  <c r="AK627" i="7"/>
  <c r="AK644" i="7"/>
  <c r="AK887" i="7"/>
  <c r="AK944" i="7"/>
  <c r="AK573" i="7"/>
  <c r="AK813" i="7"/>
  <c r="AK706" i="7"/>
  <c r="AK300" i="7"/>
  <c r="AK334" i="7"/>
  <c r="AK257" i="7"/>
  <c r="AK601" i="7"/>
  <c r="AK288" i="7"/>
  <c r="AK93" i="7"/>
  <c r="AK983" i="7"/>
  <c r="AK177" i="7"/>
  <c r="AK735" i="7"/>
  <c r="AK979" i="7"/>
  <c r="AK985" i="7"/>
  <c r="AK381" i="7"/>
  <c r="AK549" i="7"/>
  <c r="AK149" i="7"/>
  <c r="AK181" i="7"/>
  <c r="AK757" i="7"/>
  <c r="AK590" i="7"/>
  <c r="AK931" i="7"/>
  <c r="AK430" i="7"/>
  <c r="AK210" i="7"/>
  <c r="AK404" i="7"/>
  <c r="AK617" i="7"/>
  <c r="AK640" i="7"/>
  <c r="AK653" i="7"/>
  <c r="AK9" i="7"/>
  <c r="AK463" i="7"/>
  <c r="AK326" i="7"/>
  <c r="AK936" i="7"/>
  <c r="AK83" i="7"/>
  <c r="AK222" i="7"/>
  <c r="AK504" i="7"/>
  <c r="AK804" i="7"/>
  <c r="AK952" i="7"/>
  <c r="AK450" i="7"/>
  <c r="AK663" i="7"/>
  <c r="AK164" i="7"/>
  <c r="AK778" i="7"/>
  <c r="AK834" i="7"/>
  <c r="AK519" i="7"/>
  <c r="AK399" i="7"/>
  <c r="AK576" i="7"/>
  <c r="AK416" i="7"/>
  <c r="AK139" i="7"/>
  <c r="AK477" i="7"/>
  <c r="AK575" i="7"/>
  <c r="AK641" i="7"/>
  <c r="AK368" i="7"/>
  <c r="AK564" i="7"/>
  <c r="AK453" i="7"/>
  <c r="AK805" i="7"/>
  <c r="AK503" i="7"/>
  <c r="AK935" i="7"/>
  <c r="AK38" i="7"/>
  <c r="AK220" i="7"/>
  <c r="AK378" i="7"/>
  <c r="AK694" i="7"/>
  <c r="AK308" i="7"/>
  <c r="AK72" i="7"/>
  <c r="AK230" i="7"/>
  <c r="AK465" i="7"/>
  <c r="AK538" i="7"/>
  <c r="AK258" i="7"/>
  <c r="AK611" i="7"/>
  <c r="AK159" i="7"/>
  <c r="AK202" i="7"/>
  <c r="AK196" i="7"/>
  <c r="AK957" i="7"/>
  <c r="AK633" i="7"/>
  <c r="AK301" i="7"/>
  <c r="AK440" i="7"/>
  <c r="AK392" i="7"/>
  <c r="AK725" i="7"/>
  <c r="AK886" i="7"/>
  <c r="AK161" i="7"/>
  <c r="AK861" i="7"/>
  <c r="AK879" i="7"/>
  <c r="AK380" i="7"/>
  <c r="AK290" i="7"/>
  <c r="AK237" i="7"/>
  <c r="AK193" i="7"/>
  <c r="AK365" i="7"/>
  <c r="AK52" i="7"/>
  <c r="AK357" i="7"/>
  <c r="AK362" i="7"/>
  <c r="AK98" i="7"/>
  <c r="AK766" i="7"/>
  <c r="AK481" i="7"/>
  <c r="AK209" i="7"/>
  <c r="AK820" i="7"/>
  <c r="AK118" i="7"/>
  <c r="AK961" i="7"/>
  <c r="AK327" i="7"/>
  <c r="AK344" i="7"/>
  <c r="AK843" i="7"/>
  <c r="AK441" i="7"/>
  <c r="AK954" i="7"/>
  <c r="AK20" i="7"/>
  <c r="AK598" i="7"/>
  <c r="AK553" i="7"/>
  <c r="AK671" i="7"/>
  <c r="AK626" i="7"/>
  <c r="AK145" i="7"/>
  <c r="AK29" i="7"/>
  <c r="AK542" i="7"/>
  <c r="AK406" i="7"/>
  <c r="AK232" i="7"/>
  <c r="AK287" i="7"/>
  <c r="V287" i="7" l="1"/>
  <c r="Z287" i="7"/>
  <c r="V553" i="7"/>
  <c r="Z553" i="7"/>
  <c r="V961" i="7"/>
  <c r="Z961" i="7"/>
  <c r="V357" i="7"/>
  <c r="Z357" i="7"/>
  <c r="V237" i="7"/>
  <c r="Z237" i="7"/>
  <c r="V392" i="7"/>
  <c r="Z392" i="7"/>
  <c r="V230" i="7"/>
  <c r="Z230" i="7"/>
  <c r="V503" i="7"/>
  <c r="Z503" i="7"/>
  <c r="V139" i="7"/>
  <c r="Z139" i="7"/>
  <c r="V663" i="7"/>
  <c r="Z663" i="7"/>
  <c r="V326" i="7"/>
  <c r="Z326" i="7"/>
  <c r="V640" i="7"/>
  <c r="Z640" i="7"/>
  <c r="V181" i="7"/>
  <c r="Z181" i="7"/>
  <c r="V983" i="7"/>
  <c r="Z983" i="7"/>
  <c r="V813" i="7"/>
  <c r="Z813" i="7"/>
  <c r="V276" i="7"/>
  <c r="Z276" i="7"/>
  <c r="V993" i="7"/>
  <c r="Z993" i="7"/>
  <c r="V483" i="7"/>
  <c r="Z483" i="7"/>
  <c r="V628" i="7"/>
  <c r="Z628" i="7"/>
  <c r="V358" i="7"/>
  <c r="Z358" i="7"/>
  <c r="V195" i="7"/>
  <c r="Z195" i="7"/>
  <c r="V10" i="7"/>
  <c r="Z10" i="7"/>
  <c r="V401" i="7"/>
  <c r="Z401" i="7"/>
  <c r="V124" i="7"/>
  <c r="Z124" i="7"/>
  <c r="Z13" i="7"/>
  <c r="V13" i="7"/>
  <c r="Z844" i="7"/>
  <c r="V844" i="7"/>
  <c r="Z595" i="7"/>
  <c r="V595" i="7"/>
  <c r="V448" i="7"/>
  <c r="Z448" i="7"/>
  <c r="V261" i="7"/>
  <c r="Z261" i="7"/>
  <c r="V652" i="7"/>
  <c r="Z652" i="7"/>
  <c r="Z940" i="7"/>
  <c r="V940" i="7"/>
  <c r="V728" i="7"/>
  <c r="Z728" i="7"/>
  <c r="V722" i="7"/>
  <c r="Z722" i="7"/>
  <c r="V398" i="7"/>
  <c r="Z398" i="7"/>
  <c r="V867" i="7"/>
  <c r="Z867" i="7"/>
  <c r="Z860" i="7"/>
  <c r="V860" i="7"/>
  <c r="V933" i="7"/>
  <c r="Z933" i="7"/>
  <c r="V675" i="7"/>
  <c r="Z675" i="7"/>
  <c r="Z709" i="7"/>
  <c r="V709" i="7"/>
  <c r="V782" i="7"/>
  <c r="Z782" i="7"/>
  <c r="V206" i="7"/>
  <c r="Z206" i="7"/>
  <c r="V664" i="7"/>
  <c r="Z664" i="7"/>
  <c r="V497" i="7"/>
  <c r="Z497" i="7"/>
  <c r="Z816" i="7"/>
  <c r="V816" i="7"/>
  <c r="V298" i="7"/>
  <c r="Z298" i="7"/>
  <c r="V895" i="7"/>
  <c r="Z895" i="7"/>
  <c r="V431" i="7"/>
  <c r="Z431" i="7"/>
  <c r="V945" i="7"/>
  <c r="Z945" i="7"/>
  <c r="V670" i="7"/>
  <c r="Z670" i="7"/>
  <c r="V278" i="7"/>
  <c r="Z278" i="7"/>
  <c r="V33" i="7"/>
  <c r="Z33" i="7"/>
  <c r="V123" i="7"/>
  <c r="Z123" i="7"/>
  <c r="V312" i="7"/>
  <c r="Z312" i="7"/>
  <c r="V949" i="7"/>
  <c r="Z949" i="7"/>
  <c r="V609" i="7"/>
  <c r="Z609" i="7"/>
  <c r="V997" i="7"/>
  <c r="Z997" i="7"/>
  <c r="V814" i="7"/>
  <c r="Z814" i="7"/>
  <c r="V322" i="7"/>
  <c r="Z322" i="7"/>
  <c r="V646" i="7"/>
  <c r="Z646" i="7"/>
  <c r="V517" i="7"/>
  <c r="Z517" i="7"/>
  <c r="V67" i="7"/>
  <c r="Z67" i="7"/>
  <c r="V130" i="7"/>
  <c r="Z130" i="7"/>
  <c r="V128" i="7"/>
  <c r="Z128" i="7"/>
  <c r="V758" i="7"/>
  <c r="Z758" i="7"/>
  <c r="V15" i="7"/>
  <c r="Z15" i="7"/>
  <c r="V994" i="7"/>
  <c r="Z994" i="7"/>
  <c r="V784" i="7"/>
  <c r="Z784" i="7"/>
  <c r="V909" i="7"/>
  <c r="Z909" i="7"/>
  <c r="V774" i="7"/>
  <c r="Z774" i="7"/>
  <c r="V116" i="7"/>
  <c r="Z116" i="7"/>
  <c r="V467" i="7"/>
  <c r="Z467" i="7"/>
  <c r="V173" i="7"/>
  <c r="Z173" i="7"/>
  <c r="V683" i="7"/>
  <c r="Z683" i="7"/>
  <c r="Z968" i="7"/>
  <c r="V968" i="7"/>
  <c r="V394" i="7"/>
  <c r="Z394" i="7"/>
  <c r="V443" i="7"/>
  <c r="Z443" i="7"/>
  <c r="V37" i="7"/>
  <c r="Z37" i="7"/>
  <c r="V499" i="7"/>
  <c r="Z499" i="7"/>
  <c r="V881" i="7"/>
  <c r="Z881" i="7"/>
  <c r="V635" i="7"/>
  <c r="Z635" i="7"/>
  <c r="Z693" i="7"/>
  <c r="V693" i="7"/>
  <c r="V522" i="7"/>
  <c r="Z522" i="7"/>
  <c r="V434" i="7"/>
  <c r="Z434" i="7"/>
  <c r="V199" i="7"/>
  <c r="Z199" i="7"/>
  <c r="V638" i="7"/>
  <c r="Z638" i="7"/>
  <c r="V833" i="7"/>
  <c r="Z833" i="7"/>
  <c r="Z980" i="7"/>
  <c r="V980" i="7"/>
  <c r="V676" i="7"/>
  <c r="Z676" i="7"/>
  <c r="V995" i="7"/>
  <c r="Z995" i="7"/>
  <c r="V455" i="7"/>
  <c r="Z455" i="7"/>
  <c r="V144" i="7"/>
  <c r="Z144" i="7"/>
  <c r="V194" i="7"/>
  <c r="Z194" i="7"/>
  <c r="V185" i="7"/>
  <c r="Z185" i="7"/>
  <c r="V106" i="7"/>
  <c r="Z106" i="7"/>
  <c r="V390" i="7"/>
  <c r="Z390" i="7"/>
  <c r="V8" i="7"/>
  <c r="Z8" i="7"/>
  <c r="V207" i="7"/>
  <c r="Z207" i="7"/>
  <c r="V925" i="7"/>
  <c r="Z925" i="7"/>
  <c r="V903" i="7"/>
  <c r="Z903" i="7"/>
  <c r="V262" i="7"/>
  <c r="Z262" i="7"/>
  <c r="Z872" i="7"/>
  <c r="V872" i="7"/>
  <c r="V623" i="7"/>
  <c r="Z623" i="7"/>
  <c r="V183" i="7"/>
  <c r="Z183" i="7"/>
  <c r="V432" i="7"/>
  <c r="Z432" i="7"/>
  <c r="V899" i="7"/>
  <c r="Z899" i="7"/>
  <c r="V457" i="7"/>
  <c r="Z457" i="7"/>
  <c r="V245" i="7"/>
  <c r="Z245" i="7"/>
  <c r="V919" i="7"/>
  <c r="Z919" i="7"/>
  <c r="V918" i="7"/>
  <c r="Z918" i="7"/>
  <c r="V319" i="7"/>
  <c r="Z319" i="7"/>
  <c r="V264" i="7"/>
  <c r="Z264" i="7"/>
  <c r="V151" i="7"/>
  <c r="Z151" i="7"/>
  <c r="V70" i="7"/>
  <c r="Z70" i="7"/>
  <c r="Z904" i="7"/>
  <c r="V904" i="7"/>
  <c r="V25" i="7"/>
  <c r="Z25" i="7"/>
  <c r="V585" i="7"/>
  <c r="Z585" i="7"/>
  <c r="V464" i="7"/>
  <c r="Z464" i="7"/>
  <c r="V143" i="7"/>
  <c r="Z143" i="7"/>
  <c r="V315" i="7"/>
  <c r="Z315" i="7"/>
  <c r="V578" i="7"/>
  <c r="Z578" i="7"/>
  <c r="V547" i="7"/>
  <c r="Z547" i="7"/>
  <c r="V184" i="7"/>
  <c r="Z184" i="7"/>
  <c r="V554" i="7"/>
  <c r="Z554" i="7"/>
  <c r="V424" i="7"/>
  <c r="Z424" i="7"/>
  <c r="V929" i="7"/>
  <c r="Z929" i="7"/>
  <c r="V385" i="7"/>
  <c r="Z385" i="7"/>
  <c r="V438" i="7"/>
  <c r="Z438" i="7"/>
  <c r="V254" i="7"/>
  <c r="Z254" i="7"/>
  <c r="V405" i="7"/>
  <c r="Z405" i="7"/>
  <c r="V232" i="7"/>
  <c r="Z232" i="7"/>
  <c r="V598" i="7"/>
  <c r="Z598" i="7"/>
  <c r="V118" i="7"/>
  <c r="Z118" i="7"/>
  <c r="V52" i="7"/>
  <c r="Z52" i="7"/>
  <c r="V161" i="7"/>
  <c r="Z161" i="7"/>
  <c r="V196" i="7"/>
  <c r="Z196" i="7"/>
  <c r="V72" i="7"/>
  <c r="Z72" i="7"/>
  <c r="V805" i="7"/>
  <c r="Z805" i="7"/>
  <c r="V416" i="7"/>
  <c r="Z416" i="7"/>
  <c r="V450" i="7"/>
  <c r="Z450" i="7"/>
  <c r="V463" i="7"/>
  <c r="Z463" i="7"/>
  <c r="V931" i="7"/>
  <c r="Z931" i="7"/>
  <c r="V979" i="7"/>
  <c r="Z979" i="7"/>
  <c r="V334" i="7"/>
  <c r="Z334" i="7"/>
  <c r="V627" i="7"/>
  <c r="Z627" i="7"/>
  <c r="V251" i="7"/>
  <c r="Z251" i="7"/>
  <c r="V536" i="7"/>
  <c r="Z536" i="7"/>
  <c r="V696" i="7"/>
  <c r="Z696" i="7"/>
  <c r="V225" i="7"/>
  <c r="Z225" i="7"/>
  <c r="V849" i="7"/>
  <c r="Z849" i="7"/>
  <c r="V265" i="7"/>
  <c r="Z265" i="7"/>
  <c r="V518" i="7"/>
  <c r="Z518" i="7"/>
  <c r="V620" i="7"/>
  <c r="Z620" i="7"/>
  <c r="V809" i="7"/>
  <c r="Z809" i="7"/>
  <c r="V174" i="7"/>
  <c r="Z174" i="7"/>
  <c r="V815" i="7"/>
  <c r="Z815" i="7"/>
  <c r="V786" i="7"/>
  <c r="Z786" i="7"/>
  <c r="V561" i="7"/>
  <c r="Z561" i="7"/>
  <c r="V475" i="7"/>
  <c r="Z475" i="7"/>
  <c r="V587" i="7"/>
  <c r="Z587" i="7"/>
  <c r="Z824" i="7"/>
  <c r="V824" i="7"/>
  <c r="V198" i="7"/>
  <c r="Z198" i="7"/>
  <c r="V253" i="7"/>
  <c r="Z253" i="7"/>
  <c r="V461" i="7"/>
  <c r="Z461" i="7"/>
  <c r="V546" i="7"/>
  <c r="Z546" i="7"/>
  <c r="Z928" i="7"/>
  <c r="V928" i="7"/>
  <c r="V427" i="7"/>
  <c r="Z427" i="7"/>
  <c r="V634" i="7"/>
  <c r="Z634" i="7"/>
  <c r="V898" i="7"/>
  <c r="Z898" i="7"/>
  <c r="V41" i="7"/>
  <c r="Z41" i="7"/>
  <c r="V855" i="7"/>
  <c r="Z855" i="7"/>
  <c r="V426" i="7"/>
  <c r="Z426" i="7"/>
  <c r="V62" i="7"/>
  <c r="Z62" i="7"/>
  <c r="Z741" i="7"/>
  <c r="V741" i="7"/>
  <c r="V260" i="7"/>
  <c r="Z260" i="7"/>
  <c r="Z661" i="7"/>
  <c r="V661" i="7"/>
  <c r="V234" i="7"/>
  <c r="Z234" i="7"/>
  <c r="V869" i="7"/>
  <c r="Z869" i="7"/>
  <c r="V113" i="7"/>
  <c r="Z113" i="7"/>
  <c r="V218" i="7"/>
  <c r="Z218" i="7"/>
  <c r="V338" i="7"/>
  <c r="Z338" i="7"/>
  <c r="Z705" i="7"/>
  <c r="V705" i="7"/>
  <c r="V998" i="7"/>
  <c r="Z998" i="7"/>
  <c r="Z956" i="7"/>
  <c r="V956" i="7"/>
  <c r="V150" i="7"/>
  <c r="Z150" i="7"/>
  <c r="V535" i="7"/>
  <c r="Z535" i="7"/>
  <c r="V509" i="7"/>
  <c r="Z509" i="7"/>
  <c r="V88" i="7"/>
  <c r="Z88" i="7"/>
  <c r="V612" i="7"/>
  <c r="Z612" i="7"/>
  <c r="V283" i="7"/>
  <c r="Z283" i="7"/>
  <c r="V233" i="7"/>
  <c r="Z233" i="7"/>
  <c r="V537" i="7"/>
  <c r="Z537" i="7"/>
  <c r="V95" i="7"/>
  <c r="Z95" i="7"/>
  <c r="V772" i="7"/>
  <c r="Z772" i="7"/>
  <c r="Z629" i="7"/>
  <c r="V629" i="7"/>
  <c r="V125" i="7"/>
  <c r="Z125" i="7"/>
  <c r="Z637" i="7"/>
  <c r="V637" i="7"/>
  <c r="Z613" i="7"/>
  <c r="V613" i="7"/>
  <c r="V524" i="7"/>
  <c r="Z524" i="7"/>
  <c r="V425" i="7"/>
  <c r="Z425" i="7"/>
  <c r="V955" i="7"/>
  <c r="Z955" i="7"/>
  <c r="V291" i="7"/>
  <c r="Z291" i="7"/>
  <c r="V739" i="7"/>
  <c r="Z739" i="7"/>
  <c r="V729" i="7"/>
  <c r="Z729" i="7"/>
  <c r="V991" i="7"/>
  <c r="Z991" i="7"/>
  <c r="V775" i="7"/>
  <c r="Z775" i="7"/>
  <c r="V742" i="7"/>
  <c r="Z742" i="7"/>
  <c r="V444" i="7"/>
  <c r="Z444" i="7"/>
  <c r="V752" i="7"/>
  <c r="Z752" i="7"/>
  <c r="V529" i="7"/>
  <c r="Z529" i="7"/>
  <c r="V24" i="7"/>
  <c r="Z24" i="7"/>
  <c r="AM4" i="7"/>
  <c r="Z4" i="7"/>
  <c r="V4" i="7"/>
  <c r="V897" i="7"/>
  <c r="Z897" i="7"/>
  <c r="V263" i="7"/>
  <c r="Z263" i="7"/>
  <c r="V978" i="7"/>
  <c r="Z978" i="7"/>
  <c r="V835" i="7"/>
  <c r="Z835" i="7"/>
  <c r="V14" i="7"/>
  <c r="Z14" i="7"/>
  <c r="V87" i="7"/>
  <c r="Z87" i="7"/>
  <c r="V659" i="7"/>
  <c r="Z659" i="7"/>
  <c r="V153" i="7"/>
  <c r="Z153" i="7"/>
  <c r="V259" i="7"/>
  <c r="Z259" i="7"/>
  <c r="V121" i="7"/>
  <c r="Z121" i="7"/>
  <c r="V383" i="7"/>
  <c r="Z383" i="7"/>
  <c r="V781" i="7"/>
  <c r="Z781" i="7"/>
  <c r="V351" i="7"/>
  <c r="Z351" i="7"/>
  <c r="V19" i="7"/>
  <c r="Z19" i="7"/>
  <c r="V306" i="7"/>
  <c r="Z306" i="7"/>
  <c r="V540" i="7"/>
  <c r="Z540" i="7"/>
  <c r="V73" i="7"/>
  <c r="Z73" i="7"/>
  <c r="V91" i="7"/>
  <c r="Z91" i="7"/>
  <c r="V534" i="7"/>
  <c r="Z534" i="7"/>
  <c r="V756" i="7"/>
  <c r="Z756" i="7"/>
  <c r="V746" i="7"/>
  <c r="Z746" i="7"/>
  <c r="V847" i="7"/>
  <c r="Z847" i="7"/>
  <c r="V371" i="7"/>
  <c r="Z371" i="7"/>
  <c r="V274" i="7"/>
  <c r="Z274" i="7"/>
  <c r="V307" i="7"/>
  <c r="Z307" i="7"/>
  <c r="V349" i="7"/>
  <c r="Z349" i="7"/>
  <c r="V582" i="7"/>
  <c r="Z582" i="7"/>
  <c r="V460" i="7"/>
  <c r="Z460" i="7"/>
  <c r="V801" i="7"/>
  <c r="Z801" i="7"/>
  <c r="V59" i="7"/>
  <c r="Z59" i="7"/>
  <c r="V514" i="7"/>
  <c r="Z514" i="7"/>
  <c r="V488" i="7"/>
  <c r="Z488" i="7"/>
  <c r="V472" i="7"/>
  <c r="Z472" i="7"/>
  <c r="Z697" i="7"/>
  <c r="V697" i="7"/>
  <c r="V248" i="7"/>
  <c r="Z248" i="7"/>
  <c r="V294" i="7"/>
  <c r="Z294" i="7"/>
  <c r="V347" i="7"/>
  <c r="Z347" i="7"/>
  <c r="Z984" i="7"/>
  <c r="V984" i="7"/>
  <c r="V11" i="7"/>
  <c r="Z11" i="7"/>
  <c r="V228" i="7"/>
  <c r="Z228" i="7"/>
  <c r="V790" i="7"/>
  <c r="Z790" i="7"/>
  <c r="V192" i="7"/>
  <c r="Z192" i="7"/>
  <c r="V148" i="7"/>
  <c r="Z148" i="7"/>
  <c r="V270" i="7"/>
  <c r="Z270" i="7"/>
  <c r="V160" i="7"/>
  <c r="Z160" i="7"/>
  <c r="V878" i="7"/>
  <c r="Z878" i="7"/>
  <c r="V648" i="7"/>
  <c r="Z648" i="7"/>
  <c r="V764" i="7"/>
  <c r="Z764" i="7"/>
  <c r="V30" i="7"/>
  <c r="Z30" i="7"/>
  <c r="V938" i="7"/>
  <c r="Z938" i="7"/>
  <c r="V811" i="7"/>
  <c r="Z811" i="7"/>
  <c r="V626" i="7"/>
  <c r="Z626" i="7"/>
  <c r="V344" i="7"/>
  <c r="Z344" i="7"/>
  <c r="V365" i="7"/>
  <c r="Z365" i="7"/>
  <c r="V886" i="7"/>
  <c r="Z886" i="7"/>
  <c r="V202" i="7"/>
  <c r="Z202" i="7"/>
  <c r="V308" i="7"/>
  <c r="Z308" i="7"/>
  <c r="V38" i="7"/>
  <c r="Z38" i="7"/>
  <c r="V453" i="7"/>
  <c r="Z453" i="7"/>
  <c r="Z575" i="7"/>
  <c r="V575" i="7"/>
  <c r="V576" i="7"/>
  <c r="Z576" i="7"/>
  <c r="V778" i="7"/>
  <c r="Z778" i="7"/>
  <c r="Z952" i="7"/>
  <c r="V952" i="7"/>
  <c r="V83" i="7"/>
  <c r="Z83" i="7"/>
  <c r="Z9" i="7"/>
  <c r="V9" i="7"/>
  <c r="V404" i="7"/>
  <c r="Z404" i="7"/>
  <c r="V590" i="7"/>
  <c r="Z590" i="7"/>
  <c r="V549" i="7"/>
  <c r="Z549" i="7"/>
  <c r="Z735" i="7"/>
  <c r="V735" i="7"/>
  <c r="V288" i="7"/>
  <c r="Z288" i="7"/>
  <c r="V300" i="7"/>
  <c r="Z300" i="7"/>
  <c r="Z944" i="7"/>
  <c r="V944" i="7"/>
  <c r="V373" i="7"/>
  <c r="Z373" i="7"/>
  <c r="V818" i="7"/>
  <c r="Z818" i="7"/>
  <c r="Z832" i="7"/>
  <c r="V832" i="7"/>
  <c r="V75" i="7"/>
  <c r="Z75" i="7"/>
  <c r="V738" i="7"/>
  <c r="Z738" i="7"/>
  <c r="V165" i="7"/>
  <c r="Z165" i="7"/>
  <c r="V930" i="7"/>
  <c r="Z930" i="7"/>
  <c r="V309" i="7"/>
  <c r="Z309" i="7"/>
  <c r="V240" i="7"/>
  <c r="Z240" i="7"/>
  <c r="V403" i="7"/>
  <c r="Z403" i="7"/>
  <c r="V336" i="7"/>
  <c r="Z336" i="7"/>
  <c r="V136" i="7"/>
  <c r="Z136" i="7"/>
  <c r="V750" i="7"/>
  <c r="Z750" i="7"/>
  <c r="V28" i="7"/>
  <c r="Z28" i="7"/>
  <c r="V110" i="7"/>
  <c r="Z110" i="7"/>
  <c r="V188" i="7"/>
  <c r="Z188" i="7"/>
  <c r="V137" i="7"/>
  <c r="Z137" i="7"/>
  <c r="V65" i="7"/>
  <c r="Z65" i="7"/>
  <c r="Z717" i="7"/>
  <c r="V717" i="7"/>
  <c r="V356" i="7"/>
  <c r="Z356" i="7"/>
  <c r="V678" i="7"/>
  <c r="Z678" i="7"/>
  <c r="V906" i="7"/>
  <c r="Z906" i="7"/>
  <c r="V817" i="7"/>
  <c r="Z817" i="7"/>
  <c r="V592" i="7"/>
  <c r="Z592" i="7"/>
  <c r="V97" i="7"/>
  <c r="Z97" i="7"/>
  <c r="V668" i="7"/>
  <c r="Z668" i="7"/>
  <c r="V22" i="7"/>
  <c r="Z22" i="7"/>
  <c r="V958" i="7"/>
  <c r="Z958" i="7"/>
  <c r="V346" i="7"/>
  <c r="Z346" i="7"/>
  <c r="Z565" i="7"/>
  <c r="V565" i="7"/>
  <c r="V212" i="7"/>
  <c r="Z212" i="7"/>
  <c r="V651" i="7"/>
  <c r="Z651" i="7"/>
  <c r="V57" i="7"/>
  <c r="Z57" i="7"/>
  <c r="V748" i="7"/>
  <c r="Z748" i="7"/>
  <c r="V296" i="7"/>
  <c r="Z296" i="7"/>
  <c r="V838" i="7"/>
  <c r="Z838" i="7"/>
  <c r="V226" i="7"/>
  <c r="Z226" i="7"/>
  <c r="V391" i="7"/>
  <c r="Z391" i="7"/>
  <c r="V841" i="7"/>
  <c r="Z841" i="7"/>
  <c r="Z976" i="7"/>
  <c r="V976" i="7"/>
  <c r="Z793" i="7"/>
  <c r="V793" i="7"/>
  <c r="V865" i="7"/>
  <c r="Z865" i="7"/>
  <c r="V942" i="7"/>
  <c r="Z942" i="7"/>
  <c r="V760" i="7"/>
  <c r="Z760" i="7"/>
  <c r="V69" i="7"/>
  <c r="Z69" i="7"/>
  <c r="V714" i="7"/>
  <c r="Z714" i="7"/>
  <c r="V204" i="7"/>
  <c r="Z204" i="7"/>
  <c r="V476" i="7"/>
  <c r="Z476" i="7"/>
  <c r="V970" i="7"/>
  <c r="Z970" i="7"/>
  <c r="V548" i="7"/>
  <c r="Z548" i="7"/>
  <c r="V303" i="7"/>
  <c r="Z303" i="7"/>
  <c r="Z685" i="7"/>
  <c r="V685" i="7"/>
  <c r="V155" i="7"/>
  <c r="Z155" i="7"/>
  <c r="V224" i="7"/>
  <c r="Z224" i="7"/>
  <c r="V474" i="7"/>
  <c r="Z474" i="7"/>
  <c r="V593" i="7"/>
  <c r="Z593" i="7"/>
  <c r="V660" i="7"/>
  <c r="Z660" i="7"/>
  <c r="V90" i="7"/>
  <c r="Z90" i="7"/>
  <c r="V85" i="7"/>
  <c r="Z85" i="7"/>
  <c r="V102" i="7"/>
  <c r="Z102" i="7"/>
  <c r="V802" i="7"/>
  <c r="Z802" i="7"/>
  <c r="V400" i="7"/>
  <c r="Z400" i="7"/>
  <c r="V297" i="7"/>
  <c r="Z297" i="7"/>
  <c r="V545" i="7"/>
  <c r="Z545" i="7"/>
  <c r="V726" i="7"/>
  <c r="Z726" i="7"/>
  <c r="Z988" i="7"/>
  <c r="V988" i="7"/>
  <c r="V943" i="7"/>
  <c r="Z943" i="7"/>
  <c r="V60" i="7"/>
  <c r="Z60" i="7"/>
  <c r="V533" i="7"/>
  <c r="Z533" i="7"/>
  <c r="V577" i="7"/>
  <c r="Z577" i="7"/>
  <c r="V271" i="7"/>
  <c r="Z271" i="7"/>
  <c r="V333" i="7"/>
  <c r="Z333" i="7"/>
  <c r="V366" i="7"/>
  <c r="Z366" i="7"/>
  <c r="V236" i="7"/>
  <c r="Z236" i="7"/>
  <c r="V289" i="7"/>
  <c r="Z289" i="7"/>
  <c r="V375" i="7"/>
  <c r="Z375" i="7"/>
  <c r="V788" i="7"/>
  <c r="Z788" i="7"/>
  <c r="V337" i="7"/>
  <c r="Z337" i="7"/>
  <c r="V345" i="7"/>
  <c r="Z345" i="7"/>
  <c r="V286" i="7"/>
  <c r="Z286" i="7"/>
  <c r="V244" i="7"/>
  <c r="Z244" i="7"/>
  <c r="V806" i="7"/>
  <c r="Z806" i="7"/>
  <c r="V550" i="7"/>
  <c r="Z550" i="7"/>
  <c r="V208" i="7"/>
  <c r="Z208" i="7"/>
  <c r="V520" i="7"/>
  <c r="Z520" i="7"/>
  <c r="V407" i="7"/>
  <c r="Z407" i="7"/>
  <c r="V360" i="7"/>
  <c r="Z360" i="7"/>
  <c r="V560" i="7"/>
  <c r="Z560" i="7"/>
  <c r="V568" i="7"/>
  <c r="Z568" i="7"/>
  <c r="V776" i="7"/>
  <c r="Z776" i="7"/>
  <c r="V48" i="7"/>
  <c r="Z48" i="7"/>
  <c r="V527" i="7"/>
  <c r="Z527" i="7"/>
  <c r="V523" i="7"/>
  <c r="Z523" i="7"/>
  <c r="V275" i="7"/>
  <c r="Z275" i="7"/>
  <c r="V890" i="7"/>
  <c r="Z890" i="7"/>
  <c r="V658" i="7"/>
  <c r="Z658" i="7"/>
  <c r="V966" i="7"/>
  <c r="Z966" i="7"/>
  <c r="V190" i="7"/>
  <c r="Z190" i="7"/>
  <c r="V324" i="7"/>
  <c r="Z324" i="7"/>
  <c r="V656" i="7"/>
  <c r="Z656" i="7"/>
  <c r="V615" i="7"/>
  <c r="Z615" i="7"/>
  <c r="V76" i="7"/>
  <c r="Z76" i="7"/>
  <c r="V570" i="7"/>
  <c r="Z570" i="7"/>
  <c r="V393" i="7"/>
  <c r="Z393" i="7"/>
  <c r="Z579" i="7"/>
  <c r="V579" i="7"/>
  <c r="V791" i="7"/>
  <c r="Z791" i="7"/>
  <c r="V891" i="7"/>
  <c r="Z891" i="7"/>
  <c r="V182" i="7"/>
  <c r="Z182" i="7"/>
  <c r="V170" i="7"/>
  <c r="Z170" i="7"/>
  <c r="Z836" i="7"/>
  <c r="V836" i="7"/>
  <c r="V377" i="7"/>
  <c r="Z377" i="7"/>
  <c r="V513" i="7"/>
  <c r="Z513" i="7"/>
  <c r="Z912" i="7"/>
  <c r="V912" i="7"/>
  <c r="V162" i="7"/>
  <c r="Z162" i="7"/>
  <c r="V799" i="7"/>
  <c r="Z799" i="7"/>
  <c r="V311" i="7"/>
  <c r="Z311" i="7"/>
  <c r="V771" i="7"/>
  <c r="Z771" i="7"/>
  <c r="V792" i="7"/>
  <c r="Z792" i="7"/>
  <c r="V557" i="7"/>
  <c r="Z557" i="7"/>
  <c r="V203" i="7"/>
  <c r="Z203" i="7"/>
  <c r="V359" i="7"/>
  <c r="Z359" i="7"/>
  <c r="V156" i="7"/>
  <c r="Z156" i="7"/>
  <c r="V186" i="7"/>
  <c r="Z186" i="7"/>
  <c r="V630" i="7"/>
  <c r="Z630" i="7"/>
  <c r="V780" i="7"/>
  <c r="Z780" i="7"/>
  <c r="V154" i="7"/>
  <c r="Z154" i="7"/>
  <c r="V415" i="7"/>
  <c r="Z415" i="7"/>
  <c r="Z972" i="7"/>
  <c r="V972" i="7"/>
  <c r="V507" i="7"/>
  <c r="Z507" i="7"/>
  <c r="V250" i="7"/>
  <c r="Z250" i="7"/>
  <c r="V770" i="7"/>
  <c r="Z770" i="7"/>
  <c r="V107" i="7"/>
  <c r="Z107" i="7"/>
  <c r="V953" i="7"/>
  <c r="Z953" i="7"/>
  <c r="V468" i="7"/>
  <c r="Z468" i="7"/>
  <c r="V480" i="7"/>
  <c r="Z480" i="7"/>
  <c r="V723" i="7"/>
  <c r="Z723" i="7"/>
  <c r="V574" i="7"/>
  <c r="Z574" i="7"/>
  <c r="V94" i="7"/>
  <c r="Z94" i="7"/>
  <c r="V46" i="7"/>
  <c r="Z46" i="7"/>
  <c r="V911" i="7"/>
  <c r="Z911" i="7"/>
  <c r="V631" i="7"/>
  <c r="Z631" i="7"/>
  <c r="V825" i="7"/>
  <c r="Z825" i="7"/>
  <c r="V422" i="7"/>
  <c r="Z422" i="7"/>
  <c r="V846" i="7"/>
  <c r="Z846" i="7"/>
  <c r="V605" i="7"/>
  <c r="Z605" i="7"/>
  <c r="V152" i="7"/>
  <c r="Z152" i="7"/>
  <c r="Z669" i="7"/>
  <c r="V669" i="7"/>
  <c r="V526" i="7"/>
  <c r="Z526" i="7"/>
  <c r="V115" i="7"/>
  <c r="Z115" i="7"/>
  <c r="Z852" i="7"/>
  <c r="V852" i="7"/>
  <c r="V989" i="7"/>
  <c r="Z989" i="7"/>
  <c r="V619" i="7"/>
  <c r="Z619" i="7"/>
  <c r="Z721" i="7"/>
  <c r="V721" i="7"/>
  <c r="V473" i="7"/>
  <c r="Z473" i="7"/>
  <c r="V558" i="7"/>
  <c r="Z558" i="7"/>
  <c r="V731" i="7"/>
  <c r="Z731" i="7"/>
  <c r="V875" i="7"/>
  <c r="Z875" i="7"/>
  <c r="V84" i="7"/>
  <c r="Z84" i="7"/>
  <c r="V235" i="7"/>
  <c r="Z235" i="7"/>
  <c r="V917" i="7"/>
  <c r="Z917" i="7"/>
  <c r="V478" i="7"/>
  <c r="Z478" i="7"/>
  <c r="V284" i="7"/>
  <c r="Z284" i="7"/>
  <c r="V491" i="7"/>
  <c r="Z491" i="7"/>
  <c r="V172" i="7"/>
  <c r="Z172" i="7"/>
  <c r="V837" i="7"/>
  <c r="Z837" i="7"/>
  <c r="V485" i="7"/>
  <c r="Z485" i="7"/>
  <c r="V142" i="7"/>
  <c r="Z142" i="7"/>
  <c r="V340" i="7"/>
  <c r="Z340" i="7"/>
  <c r="V64" i="7"/>
  <c r="Z64" i="7"/>
  <c r="V176" i="7"/>
  <c r="Z176" i="7"/>
  <c r="V433" i="7"/>
  <c r="Z433" i="7"/>
  <c r="Z789" i="7"/>
  <c r="V789" i="7"/>
  <c r="V974" i="7"/>
  <c r="Z974" i="7"/>
  <c r="V907" i="7"/>
  <c r="Z907" i="7"/>
  <c r="V429" i="7"/>
  <c r="Z429" i="7"/>
  <c r="V768" i="7"/>
  <c r="Z768" i="7"/>
  <c r="V703" i="7"/>
  <c r="Z703" i="7"/>
  <c r="V562" i="7"/>
  <c r="Z562" i="7"/>
  <c r="V602" i="7"/>
  <c r="Z602" i="7"/>
  <c r="V81" i="7"/>
  <c r="Z81" i="7"/>
  <c r="V376" i="7"/>
  <c r="Z376" i="7"/>
  <c r="Z964" i="7"/>
  <c r="V964" i="7"/>
  <c r="Z856" i="7"/>
  <c r="V856" i="7"/>
  <c r="V740" i="7"/>
  <c r="Z740" i="7"/>
  <c r="V205" i="7"/>
  <c r="Z205" i="7"/>
  <c r="V423" i="7"/>
  <c r="Z423" i="7"/>
  <c r="Z5" i="7"/>
  <c r="V5" i="7"/>
  <c r="AM5" i="7"/>
  <c r="V387" i="7"/>
  <c r="Z387" i="7"/>
  <c r="Z777" i="7"/>
  <c r="V777" i="7"/>
  <c r="V321" i="7"/>
  <c r="Z321" i="7"/>
  <c r="Z848" i="7"/>
  <c r="V848" i="7"/>
  <c r="V439" i="7"/>
  <c r="Z439" i="7"/>
  <c r="Z880" i="7"/>
  <c r="V880" i="7"/>
  <c r="Z868" i="7"/>
  <c r="V868" i="7"/>
  <c r="V411" i="7"/>
  <c r="Z411" i="7"/>
  <c r="V600" i="7"/>
  <c r="Z600" i="7"/>
  <c r="V981" i="7"/>
  <c r="Z981" i="7"/>
  <c r="V133" i="7"/>
  <c r="Z133" i="7"/>
  <c r="Z924" i="7"/>
  <c r="V924" i="7"/>
  <c r="V987" i="7"/>
  <c r="Z987" i="7"/>
  <c r="V74" i="7"/>
  <c r="Z74" i="7"/>
  <c r="V42" i="7"/>
  <c r="Z42" i="7"/>
  <c r="V698" i="7"/>
  <c r="Z698" i="7"/>
  <c r="Z808" i="7"/>
  <c r="V808" i="7"/>
  <c r="V252" i="7"/>
  <c r="Z252" i="7"/>
  <c r="V147" i="7"/>
  <c r="Z147" i="7"/>
  <c r="V913" i="7"/>
  <c r="Z913" i="7"/>
  <c r="V361" i="7"/>
  <c r="Z361" i="7"/>
  <c r="V187" i="7"/>
  <c r="Z187" i="7"/>
  <c r="V466" i="7"/>
  <c r="Z466" i="7"/>
  <c r="V902" i="7"/>
  <c r="Z902" i="7"/>
  <c r="V126" i="7"/>
  <c r="Z126" i="7"/>
  <c r="Z16" i="7"/>
  <c r="V16" i="7"/>
  <c r="V129" i="7"/>
  <c r="Z129" i="7"/>
  <c r="V335" i="7"/>
  <c r="Z335" i="7"/>
  <c r="V990" i="7"/>
  <c r="Z990" i="7"/>
  <c r="V386" i="7"/>
  <c r="Z386" i="7"/>
  <c r="V863" i="7"/>
  <c r="Z863" i="7"/>
  <c r="V374" i="7"/>
  <c r="Z374" i="7"/>
  <c r="V580" i="7"/>
  <c r="Z580" i="7"/>
  <c r="V78" i="7"/>
  <c r="Z78" i="7"/>
  <c r="C52" i="9"/>
  <c r="C44" i="2" s="1"/>
  <c r="C50" i="9"/>
  <c r="V29" i="7"/>
  <c r="Z29" i="7"/>
  <c r="V441" i="7"/>
  <c r="Z441" i="7"/>
  <c r="V481" i="7"/>
  <c r="Z481" i="7"/>
  <c r="V861" i="7"/>
  <c r="Z861" i="7"/>
  <c r="V957" i="7"/>
  <c r="Z957" i="7"/>
  <c r="Z611" i="7"/>
  <c r="V611" i="7"/>
  <c r="V378" i="7"/>
  <c r="Z378" i="7"/>
  <c r="V368" i="7"/>
  <c r="Z368" i="7"/>
  <c r="V519" i="7"/>
  <c r="Z519" i="7"/>
  <c r="V504" i="7"/>
  <c r="Z504" i="7"/>
  <c r="V430" i="7"/>
  <c r="Z430" i="7"/>
  <c r="V985" i="7"/>
  <c r="Z985" i="7"/>
  <c r="V257" i="7"/>
  <c r="Z257" i="7"/>
  <c r="V644" i="7"/>
  <c r="Z644" i="7"/>
  <c r="V175" i="7"/>
  <c r="Z175" i="7"/>
  <c r="V632" i="7"/>
  <c r="Z632" i="7"/>
  <c r="V842" i="7"/>
  <c r="Z842" i="7"/>
  <c r="V941" i="7"/>
  <c r="Z941" i="7"/>
  <c r="V674" i="7"/>
  <c r="Z674" i="7"/>
  <c r="V508" i="7"/>
  <c r="Z508" i="7"/>
  <c r="V436" i="7"/>
  <c r="Z436" i="7"/>
  <c r="V803" i="7"/>
  <c r="Z803" i="7"/>
  <c r="V302" i="7"/>
  <c r="Z302" i="7"/>
  <c r="V266" i="7"/>
  <c r="Z266" i="7"/>
  <c r="V138" i="7"/>
  <c r="Z138" i="7"/>
  <c r="V363" i="7"/>
  <c r="Z363" i="7"/>
  <c r="V512" i="7"/>
  <c r="Z512" i="7"/>
  <c r="V639" i="7"/>
  <c r="Z639" i="7"/>
  <c r="V329" i="7"/>
  <c r="Z329" i="7"/>
  <c r="V711" i="7"/>
  <c r="Z711" i="7"/>
  <c r="V753" i="7"/>
  <c r="Z753" i="7"/>
  <c r="Z581" i="7"/>
  <c r="V581" i="7"/>
  <c r="V428" i="7"/>
  <c r="Z428" i="7"/>
  <c r="V167" i="7"/>
  <c r="Z167" i="7"/>
  <c r="Z559" i="7"/>
  <c r="V559" i="7"/>
  <c r="Z733" i="7"/>
  <c r="V733" i="7"/>
  <c r="V413" i="7"/>
  <c r="Z413" i="7"/>
  <c r="V354" i="7"/>
  <c r="Z354" i="7"/>
  <c r="V647" i="7"/>
  <c r="Z647" i="7"/>
  <c r="V158" i="7"/>
  <c r="Z158" i="7"/>
  <c r="V179" i="7"/>
  <c r="Z179" i="7"/>
  <c r="V369" i="7"/>
  <c r="Z369" i="7"/>
  <c r="V55" i="7"/>
  <c r="Z55" i="7"/>
  <c r="V140" i="7"/>
  <c r="Z140" i="7"/>
  <c r="V31" i="7"/>
  <c r="Z31" i="7"/>
  <c r="V397" i="7"/>
  <c r="Z397" i="7"/>
  <c r="Z892" i="7"/>
  <c r="V892" i="7"/>
  <c r="V293" i="7"/>
  <c r="Z293" i="7"/>
  <c r="V492" i="7"/>
  <c r="Z492" i="7"/>
  <c r="V227" i="7"/>
  <c r="Z227" i="7"/>
  <c r="V767" i="7"/>
  <c r="Z767" i="7"/>
  <c r="V342" i="7"/>
  <c r="Z342" i="7"/>
  <c r="Z840" i="7"/>
  <c r="V840" i="7"/>
  <c r="Z681" i="7"/>
  <c r="V681" i="7"/>
  <c r="V18" i="7"/>
  <c r="Z18" i="7"/>
  <c r="V47" i="7"/>
  <c r="Z47" i="7"/>
  <c r="V54" i="7"/>
  <c r="Z54" i="7"/>
  <c r="V704" i="7"/>
  <c r="Z704" i="7"/>
  <c r="V229" i="7"/>
  <c r="Z229" i="7"/>
  <c r="V734" i="7"/>
  <c r="Z734" i="7"/>
  <c r="V795" i="7"/>
  <c r="Z795" i="7"/>
  <c r="V269" i="7"/>
  <c r="Z269" i="7"/>
  <c r="V495" i="7"/>
  <c r="Z495" i="7"/>
  <c r="V484" i="7"/>
  <c r="Z484" i="7"/>
  <c r="V618" i="7"/>
  <c r="Z618" i="7"/>
  <c r="V724" i="7"/>
  <c r="Z724" i="7"/>
  <c r="V82" i="7"/>
  <c r="Z82" i="7"/>
  <c r="Z960" i="7"/>
  <c r="V960" i="7"/>
  <c r="V743" i="7"/>
  <c r="Z743" i="7"/>
  <c r="V762" i="7"/>
  <c r="Z762" i="7"/>
  <c r="Z932" i="7"/>
  <c r="V932" i="7"/>
  <c r="V606" i="7"/>
  <c r="Z606" i="7"/>
  <c r="V273" i="7"/>
  <c r="Z273" i="7"/>
  <c r="V866" i="7"/>
  <c r="Z866" i="7"/>
  <c r="V528" i="7"/>
  <c r="Z528" i="7"/>
  <c r="V117" i="7"/>
  <c r="Z117" i="7"/>
  <c r="V86" i="7"/>
  <c r="Z86" i="7"/>
  <c r="V447" i="7"/>
  <c r="Z447" i="7"/>
  <c r="V530" i="7"/>
  <c r="Z530" i="7"/>
  <c r="Z607" i="7"/>
  <c r="V607" i="7"/>
  <c r="V68" i="7"/>
  <c r="Z68" i="7"/>
  <c r="Z621" i="7"/>
  <c r="V621" i="7"/>
  <c r="V191" i="7"/>
  <c r="Z191" i="7"/>
  <c r="V122" i="7"/>
  <c r="Z122" i="7"/>
  <c r="V687" i="7"/>
  <c r="Z687" i="7"/>
  <c r="V510" i="7"/>
  <c r="Z510" i="7"/>
  <c r="V690" i="7"/>
  <c r="Z690" i="7"/>
  <c r="V168" i="7"/>
  <c r="Z168" i="7"/>
  <c r="V894" i="7"/>
  <c r="Z894" i="7"/>
  <c r="V23" i="7"/>
  <c r="Z23" i="7"/>
  <c r="V112" i="7"/>
  <c r="Z112" i="7"/>
  <c r="V211" i="7"/>
  <c r="Z211" i="7"/>
  <c r="V686" i="7"/>
  <c r="Z686" i="7"/>
  <c r="V712" i="7"/>
  <c r="Z712" i="7"/>
  <c r="V551" i="7"/>
  <c r="Z551" i="7"/>
  <c r="V482" i="7"/>
  <c r="Z482" i="7"/>
  <c r="Z591" i="7"/>
  <c r="V591" i="7"/>
  <c r="V304" i="7"/>
  <c r="Z304" i="7"/>
  <c r="V684" i="7"/>
  <c r="Z684" i="7"/>
  <c r="V532" i="7"/>
  <c r="Z532" i="7"/>
  <c r="V80" i="7"/>
  <c r="Z80" i="7"/>
  <c r="V515" i="7"/>
  <c r="Z515" i="7"/>
  <c r="V819" i="7"/>
  <c r="Z819" i="7"/>
  <c r="Z908" i="7"/>
  <c r="V908" i="7"/>
  <c r="V695" i="7"/>
  <c r="Z695" i="7"/>
  <c r="V384" i="7"/>
  <c r="Z384" i="7"/>
  <c r="V63" i="7"/>
  <c r="Z63" i="7"/>
  <c r="V666" i="7"/>
  <c r="Z666" i="7"/>
  <c r="V163" i="7"/>
  <c r="Z163" i="7"/>
  <c r="V325" i="7"/>
  <c r="Z325" i="7"/>
  <c r="V256" i="7"/>
  <c r="Z256" i="7"/>
  <c r="Z888" i="7"/>
  <c r="V888" i="7"/>
  <c r="V655" i="7"/>
  <c r="Z655" i="7"/>
  <c r="V810" i="7"/>
  <c r="Z810" i="7"/>
  <c r="V501" i="7"/>
  <c r="Z501" i="7"/>
  <c r="V410" i="7"/>
  <c r="Z410" i="7"/>
  <c r="V43" i="7"/>
  <c r="Z43" i="7"/>
  <c r="V566" i="7"/>
  <c r="Z566" i="7"/>
  <c r="V418" i="7"/>
  <c r="Z418" i="7"/>
  <c r="V295" i="7"/>
  <c r="Z295" i="7"/>
  <c r="I50" i="9"/>
  <c r="I52" i="9"/>
  <c r="C45" i="2" s="1"/>
  <c r="V145" i="7"/>
  <c r="Z145" i="7"/>
  <c r="V843" i="7"/>
  <c r="Z843" i="7"/>
  <c r="V766" i="7"/>
  <c r="Z766" i="7"/>
  <c r="V290" i="7"/>
  <c r="Z290" i="7"/>
  <c r="V440" i="7"/>
  <c r="Z440" i="7"/>
  <c r="V258" i="7"/>
  <c r="Z258" i="7"/>
  <c r="V220" i="7"/>
  <c r="Z220" i="7"/>
  <c r="Z641" i="7"/>
  <c r="V641" i="7"/>
  <c r="V834" i="7"/>
  <c r="Z834" i="7"/>
  <c r="V222" i="7"/>
  <c r="Z222" i="7"/>
  <c r="Z617" i="7"/>
  <c r="V617" i="7"/>
  <c r="V149" i="7"/>
  <c r="Z149" i="7"/>
  <c r="V93" i="7"/>
  <c r="Z93" i="7"/>
  <c r="V573" i="7"/>
  <c r="Z573" i="7"/>
  <c r="V679" i="7"/>
  <c r="Z679" i="7"/>
  <c r="V783" i="7"/>
  <c r="Z783" i="7"/>
  <c r="V710" i="7"/>
  <c r="Z710" i="7"/>
  <c r="Z727" i="7"/>
  <c r="V727" i="7"/>
  <c r="V169" i="7"/>
  <c r="Z169" i="7"/>
  <c r="V642" i="7"/>
  <c r="Z642" i="7"/>
  <c r="V744" i="7"/>
  <c r="Z744" i="7"/>
  <c r="V231" i="7"/>
  <c r="Z231" i="7"/>
  <c r="V584" i="7"/>
  <c r="Z584" i="7"/>
  <c r="V751" i="7"/>
  <c r="Z751" i="7"/>
  <c r="V883" i="7"/>
  <c r="Z883" i="7"/>
  <c r="Z645" i="7"/>
  <c r="V645" i="7"/>
  <c r="V99" i="7"/>
  <c r="Z99" i="7"/>
  <c r="V53" i="7"/>
  <c r="Z53" i="7"/>
  <c r="Z992" i="7"/>
  <c r="V992" i="7"/>
  <c r="V862" i="7"/>
  <c r="Z862" i="7"/>
  <c r="V348" i="7"/>
  <c r="Z348" i="7"/>
  <c r="V470" i="7"/>
  <c r="Z470" i="7"/>
  <c r="V827" i="7"/>
  <c r="Z827" i="7"/>
  <c r="V858" i="7"/>
  <c r="Z858" i="7"/>
  <c r="V505" i="7"/>
  <c r="Z505" i="7"/>
  <c r="V32" i="7"/>
  <c r="Z32" i="7"/>
  <c r="Z900" i="7"/>
  <c r="V900" i="7"/>
  <c r="V959" i="7"/>
  <c r="Z959" i="7"/>
  <c r="V821" i="7"/>
  <c r="Z821" i="7"/>
  <c r="V914" i="7"/>
  <c r="Z914" i="7"/>
  <c r="V650" i="7"/>
  <c r="Z650" i="7"/>
  <c r="V313" i="7"/>
  <c r="Z313" i="7"/>
  <c r="Z896" i="7"/>
  <c r="V896" i="7"/>
  <c r="V479" i="7"/>
  <c r="Z479" i="7"/>
  <c r="Z920" i="7"/>
  <c r="V920" i="7"/>
  <c r="V350" i="7"/>
  <c r="Z350" i="7"/>
  <c r="V965" i="7"/>
  <c r="Z965" i="7"/>
  <c r="V927" i="7"/>
  <c r="Z927" i="7"/>
  <c r="V798" i="7"/>
  <c r="Z798" i="7"/>
  <c r="V934" i="7"/>
  <c r="Z934" i="7"/>
  <c r="V305" i="7"/>
  <c r="Z305" i="7"/>
  <c r="V794" i="7"/>
  <c r="Z794" i="7"/>
  <c r="V370" i="7"/>
  <c r="Z370" i="7"/>
  <c r="V419" i="7"/>
  <c r="Z419" i="7"/>
  <c r="V56" i="7"/>
  <c r="Z56" i="7"/>
  <c r="V435" i="7"/>
  <c r="Z435" i="7"/>
  <c r="V26" i="7"/>
  <c r="Z26" i="7"/>
  <c r="V119" i="7"/>
  <c r="Z119" i="7"/>
  <c r="V874" i="7"/>
  <c r="Z874" i="7"/>
  <c r="V489" i="7"/>
  <c r="Z489" i="7"/>
  <c r="V604" i="7"/>
  <c r="Z604" i="7"/>
  <c r="V215" i="7"/>
  <c r="Z215" i="7"/>
  <c r="Z597" i="7"/>
  <c r="V597" i="7"/>
  <c r="V854" i="7"/>
  <c r="Z854" i="7"/>
  <c r="V277" i="7"/>
  <c r="Z277" i="7"/>
  <c r="V552" i="7"/>
  <c r="Z552" i="7"/>
  <c r="V241" i="7"/>
  <c r="Z241" i="7"/>
  <c r="V857" i="7"/>
  <c r="Z857" i="7"/>
  <c r="V103" i="7"/>
  <c r="Z103" i="7"/>
  <c r="Z745" i="7"/>
  <c r="V745" i="7"/>
  <c r="V246" i="7"/>
  <c r="Z246" i="7"/>
  <c r="V967" i="7"/>
  <c r="Z967" i="7"/>
  <c r="V89" i="7"/>
  <c r="Z89" i="7"/>
  <c r="V785" i="7"/>
  <c r="Z785" i="7"/>
  <c r="V469" i="7"/>
  <c r="Z469" i="7"/>
  <c r="V962" i="7"/>
  <c r="Z962" i="7"/>
  <c r="V388" i="7"/>
  <c r="Z388" i="7"/>
  <c r="V555" i="7"/>
  <c r="Z555" i="7"/>
  <c r="Z625" i="7"/>
  <c r="V625" i="7"/>
  <c r="V216" i="7"/>
  <c r="Z216" i="7"/>
  <c r="V114" i="7"/>
  <c r="Z114" i="7"/>
  <c r="V826" i="7"/>
  <c r="Z826" i="7"/>
  <c r="V268" i="7"/>
  <c r="Z268" i="7"/>
  <c r="V409" i="7"/>
  <c r="Z409" i="7"/>
  <c r="V310" i="7"/>
  <c r="Z310" i="7"/>
  <c r="V797" i="7"/>
  <c r="Z797" i="7"/>
  <c r="V496" i="7"/>
  <c r="Z496" i="7"/>
  <c r="Z884" i="7"/>
  <c r="V884" i="7"/>
  <c r="V280" i="7"/>
  <c r="Z280" i="7"/>
  <c r="Z665" i="7"/>
  <c r="V665" i="7"/>
  <c r="V511" i="7"/>
  <c r="Z511" i="7"/>
  <c r="V498" i="7"/>
  <c r="Z498" i="7"/>
  <c r="V318" i="7"/>
  <c r="Z318" i="7"/>
  <c r="V49" i="7"/>
  <c r="Z49" i="7"/>
  <c r="V217" i="7"/>
  <c r="Z217" i="7"/>
  <c r="V539" i="7"/>
  <c r="Z539" i="7"/>
  <c r="V320" i="7"/>
  <c r="Z320" i="7"/>
  <c r="Z673" i="7"/>
  <c r="V673" i="7"/>
  <c r="Z876" i="7"/>
  <c r="V876" i="7"/>
  <c r="V239" i="7"/>
  <c r="Z239" i="7"/>
  <c r="V249" i="7"/>
  <c r="Z249" i="7"/>
  <c r="V544" i="7"/>
  <c r="Z544" i="7"/>
  <c r="V845" i="7"/>
  <c r="Z845" i="7"/>
  <c r="V243" i="7"/>
  <c r="Z243" i="7"/>
  <c r="V569" i="7"/>
  <c r="Z569" i="7"/>
  <c r="V166" i="7"/>
  <c r="Z166" i="7"/>
  <c r="V850" i="7"/>
  <c r="Z850" i="7"/>
  <c r="V567" i="7"/>
  <c r="Z567" i="7"/>
  <c r="V624" i="7"/>
  <c r="Z624" i="7"/>
  <c r="Z747" i="7"/>
  <c r="V747" i="7"/>
  <c r="V141" i="7"/>
  <c r="Z141" i="7"/>
  <c r="V437" i="7"/>
  <c r="Z437" i="7"/>
  <c r="V716" i="7"/>
  <c r="Z716" i="7"/>
  <c r="V923" i="7"/>
  <c r="Z923" i="7"/>
  <c r="V299" i="7"/>
  <c r="Z299" i="7"/>
  <c r="V599" i="7"/>
  <c r="Z599" i="7"/>
  <c r="V406" i="7"/>
  <c r="Z406" i="7"/>
  <c r="V20" i="7"/>
  <c r="Z20" i="7"/>
  <c r="Z820" i="7"/>
  <c r="V820" i="7"/>
  <c r="V98" i="7"/>
  <c r="Z98" i="7"/>
  <c r="V380" i="7"/>
  <c r="Z380" i="7"/>
  <c r="V301" i="7"/>
  <c r="Z301" i="7"/>
  <c r="V538" i="7"/>
  <c r="Z538" i="7"/>
  <c r="V542" i="7"/>
  <c r="Z542" i="7"/>
  <c r="V671" i="7"/>
  <c r="Z671" i="7"/>
  <c r="V954" i="7"/>
  <c r="Z954" i="7"/>
  <c r="V327" i="7"/>
  <c r="Z327" i="7"/>
  <c r="V209" i="7"/>
  <c r="Z209" i="7"/>
  <c r="V362" i="7"/>
  <c r="Z362" i="7"/>
  <c r="V193" i="7"/>
  <c r="Z193" i="7"/>
  <c r="V879" i="7"/>
  <c r="Z879" i="7"/>
  <c r="Z725" i="7"/>
  <c r="V725" i="7"/>
  <c r="Z633" i="7"/>
  <c r="V633" i="7"/>
  <c r="V159" i="7"/>
  <c r="Z159" i="7"/>
  <c r="V465" i="7"/>
  <c r="Z465" i="7"/>
  <c r="V694" i="7"/>
  <c r="Z694" i="7"/>
  <c r="V935" i="7"/>
  <c r="Z935" i="7"/>
  <c r="V564" i="7"/>
  <c r="Z564" i="7"/>
  <c r="V477" i="7"/>
  <c r="Z477" i="7"/>
  <c r="V399" i="7"/>
  <c r="Z399" i="7"/>
  <c r="V164" i="7"/>
  <c r="Z164" i="7"/>
  <c r="Z804" i="7"/>
  <c r="V804" i="7"/>
  <c r="Z936" i="7"/>
  <c r="V936" i="7"/>
  <c r="Z653" i="7"/>
  <c r="V653" i="7"/>
  <c r="V210" i="7"/>
  <c r="Z210" i="7"/>
  <c r="Z757" i="7"/>
  <c r="V757" i="7"/>
  <c r="V381" i="7"/>
  <c r="Z381" i="7"/>
  <c r="V177" i="7"/>
  <c r="Z177" i="7"/>
  <c r="V601" i="7"/>
  <c r="Z601" i="7"/>
  <c r="V706" i="7"/>
  <c r="Z706" i="7"/>
  <c r="V887" i="7"/>
  <c r="Z887" i="7"/>
  <c r="V135" i="7"/>
  <c r="Z135" i="7"/>
  <c r="V45" i="7"/>
  <c r="Z45" i="7"/>
  <c r="V379" i="7"/>
  <c r="Z379" i="7"/>
  <c r="V292" i="7"/>
  <c r="Z292" i="7"/>
  <c r="V281" i="7"/>
  <c r="Z281" i="7"/>
  <c r="V146" i="7"/>
  <c r="Z146" i="7"/>
  <c r="V382" i="7"/>
  <c r="Z382" i="7"/>
  <c r="V572" i="7"/>
  <c r="Z572" i="7"/>
  <c r="Z689" i="7"/>
  <c r="V689" i="7"/>
  <c r="V708" i="7"/>
  <c r="Z708" i="7"/>
  <c r="V442" i="7"/>
  <c r="Z442" i="7"/>
  <c r="V699" i="7"/>
  <c r="Z699" i="7"/>
  <c r="V999" i="7"/>
  <c r="Z999" i="7"/>
  <c r="Z779" i="7"/>
  <c r="V779" i="7"/>
  <c r="V830" i="7"/>
  <c r="Z830" i="7"/>
  <c r="V134" i="7"/>
  <c r="Z134" i="7"/>
  <c r="V910" i="7"/>
  <c r="Z910" i="7"/>
  <c r="V589" i="7"/>
  <c r="Z589" i="7"/>
  <c r="V977" i="7"/>
  <c r="Z977" i="7"/>
  <c r="V127" i="7"/>
  <c r="Z127" i="7"/>
  <c r="V40" i="7"/>
  <c r="Z40" i="7"/>
  <c r="V571" i="7"/>
  <c r="Z571" i="7"/>
  <c r="V414" i="7"/>
  <c r="Z414" i="7"/>
  <c r="V343" i="7"/>
  <c r="Z343" i="7"/>
  <c r="V749" i="7"/>
  <c r="Z749" i="7"/>
  <c r="V823" i="7"/>
  <c r="Z823" i="7"/>
  <c r="V969" i="7"/>
  <c r="Z969" i="7"/>
  <c r="V737" i="7"/>
  <c r="Z737" i="7"/>
  <c r="V667" i="7"/>
  <c r="Z667" i="7"/>
  <c r="V871" i="7"/>
  <c r="Z871" i="7"/>
  <c r="V682" i="7"/>
  <c r="Z682" i="7"/>
  <c r="V219" i="7"/>
  <c r="Z219" i="7"/>
  <c r="Z763" i="7"/>
  <c r="V763" i="7"/>
  <c r="V77" i="7"/>
  <c r="Z77" i="7"/>
  <c r="V951" i="7"/>
  <c r="Z951" i="7"/>
  <c r="V449" i="7"/>
  <c r="Z449" i="7"/>
  <c r="V586" i="7"/>
  <c r="Z586" i="7"/>
  <c r="V50" i="7"/>
  <c r="Z50" i="7"/>
  <c r="V364" i="7"/>
  <c r="Z364" i="7"/>
  <c r="V395" i="7"/>
  <c r="Z395" i="7"/>
  <c r="V901" i="7"/>
  <c r="Z901" i="7"/>
  <c r="Z677" i="7"/>
  <c r="V677" i="7"/>
  <c r="V500" i="7"/>
  <c r="Z500" i="7"/>
  <c r="V105" i="7"/>
  <c r="Z105" i="7"/>
  <c r="V131" i="7"/>
  <c r="Z131" i="7"/>
  <c r="V214" i="7"/>
  <c r="Z214" i="7"/>
  <c r="V242" i="7"/>
  <c r="Z242" i="7"/>
  <c r="V471" i="7"/>
  <c r="Z471" i="7"/>
  <c r="V700" i="7"/>
  <c r="Z700" i="7"/>
  <c r="V331" i="7"/>
  <c r="Z331" i="7"/>
  <c r="V730" i="7"/>
  <c r="Z730" i="7"/>
  <c r="V502" i="7"/>
  <c r="Z502" i="7"/>
  <c r="V420" i="7"/>
  <c r="Z420" i="7"/>
  <c r="Z713" i="7"/>
  <c r="V713" i="7"/>
  <c r="V720" i="7"/>
  <c r="Z720" i="7"/>
  <c r="Z800" i="7"/>
  <c r="V800" i="7"/>
  <c r="V493" i="7"/>
  <c r="Z493" i="7"/>
  <c r="V831" i="7"/>
  <c r="Z831" i="7"/>
  <c r="V328" i="7"/>
  <c r="Z328" i="7"/>
  <c r="V521" i="7"/>
  <c r="Z521" i="7"/>
  <c r="V44" i="7"/>
  <c r="Z44" i="7"/>
  <c r="Z773" i="7"/>
  <c r="V773" i="7"/>
  <c r="V877" i="7"/>
  <c r="Z877" i="7"/>
  <c r="V456" i="7"/>
  <c r="Z456" i="7"/>
  <c r="V691" i="7"/>
  <c r="Z691" i="7"/>
  <c r="V610" i="7"/>
  <c r="Z610" i="7"/>
  <c r="V688" i="7"/>
  <c r="Z688" i="7"/>
  <c r="V516" i="7"/>
  <c r="Z516" i="7"/>
  <c r="V189" i="7"/>
  <c r="Z189" i="7"/>
  <c r="V707" i="7"/>
  <c r="Z707" i="7"/>
  <c r="V402" i="7"/>
  <c r="Z402" i="7"/>
  <c r="V39" i="7"/>
  <c r="Z39" i="7"/>
  <c r="V506" i="7"/>
  <c r="Z506" i="7"/>
  <c r="V341" i="7"/>
  <c r="Z341" i="7"/>
  <c r="V643" i="7"/>
  <c r="Z643" i="7"/>
  <c r="V594" i="7"/>
  <c r="Z594" i="7"/>
  <c r="V412" i="7"/>
  <c r="Z412" i="7"/>
  <c r="V171" i="7"/>
  <c r="Z171" i="7"/>
  <c r="V247" i="7"/>
  <c r="Z247" i="7"/>
  <c r="V490" i="7"/>
  <c r="Z490" i="7"/>
  <c r="V100" i="7"/>
  <c r="Z100" i="7"/>
  <c r="V51" i="7"/>
  <c r="Z51" i="7"/>
  <c r="V654" i="7"/>
  <c r="Z654" i="7"/>
  <c r="V755" i="7"/>
  <c r="Z755" i="7"/>
  <c r="V915" i="7"/>
  <c r="Z915" i="7"/>
  <c r="V885" i="7"/>
  <c r="Z885" i="7"/>
  <c r="Z17" i="7"/>
  <c r="V17" i="7"/>
  <c r="V692" i="7"/>
  <c r="Z692" i="7"/>
  <c r="V71" i="7"/>
  <c r="Z71" i="7"/>
  <c r="Z828" i="7"/>
  <c r="V828" i="7"/>
  <c r="V622" i="7"/>
  <c r="Z622" i="7"/>
  <c r="V197" i="7"/>
  <c r="Z197" i="7"/>
  <c r="V221" i="7"/>
  <c r="Z221" i="7"/>
  <c r="V314" i="7"/>
  <c r="Z314" i="7"/>
  <c r="V120" i="7"/>
  <c r="Z120" i="7"/>
  <c r="V132" i="7"/>
  <c r="Z132" i="7"/>
  <c r="V937" i="7"/>
  <c r="Z937" i="7"/>
  <c r="V829" i="7"/>
  <c r="Z829" i="7"/>
  <c r="V973" i="7"/>
  <c r="Z973" i="7"/>
  <c r="V882" i="7"/>
  <c r="Z882" i="7"/>
  <c r="V421" i="7"/>
  <c r="Z421" i="7"/>
  <c r="V839" i="7"/>
  <c r="Z839" i="7"/>
  <c r="V396" i="7"/>
  <c r="Z396" i="7"/>
  <c r="V36" i="7"/>
  <c r="Z36" i="7"/>
  <c r="V285" i="7"/>
  <c r="Z285" i="7"/>
  <c r="V662" i="7"/>
  <c r="Z662" i="7"/>
  <c r="V21" i="7"/>
  <c r="Z21" i="7"/>
  <c r="Z948" i="7"/>
  <c r="V948" i="7"/>
  <c r="V736" i="7"/>
  <c r="Z736" i="7"/>
  <c r="V715" i="7"/>
  <c r="Z715" i="7"/>
  <c r="V367" i="7"/>
  <c r="Z367" i="7"/>
  <c r="V921" i="7"/>
  <c r="Z921" i="7"/>
  <c r="V352" i="7"/>
  <c r="Z352" i="7"/>
  <c r="V317" i="7"/>
  <c r="Z317" i="7"/>
  <c r="V494" i="7"/>
  <c r="Z494" i="7"/>
  <c r="V27" i="7"/>
  <c r="Z27" i="7"/>
  <c r="V851" i="7"/>
  <c r="Z851" i="7"/>
  <c r="V104" i="7"/>
  <c r="Z104" i="7"/>
  <c r="V807" i="7"/>
  <c r="Z807" i="7"/>
  <c r="V754" i="7"/>
  <c r="Z754" i="7"/>
  <c r="V718" i="7"/>
  <c r="Z718" i="7"/>
  <c r="V583" i="7"/>
  <c r="Z583" i="7"/>
  <c r="V200" i="7"/>
  <c r="Z200" i="7"/>
  <c r="V462" i="7"/>
  <c r="Z462" i="7"/>
  <c r="V822" i="7"/>
  <c r="Z822" i="7"/>
  <c r="V787" i="7"/>
  <c r="Z787" i="7"/>
  <c r="V417" i="7"/>
  <c r="Z417" i="7"/>
  <c r="V616" i="7"/>
  <c r="Z616" i="7"/>
  <c r="V272" i="7"/>
  <c r="Z272" i="7"/>
  <c r="Z812" i="7"/>
  <c r="V812" i="7"/>
  <c r="V108" i="7"/>
  <c r="Z108" i="7"/>
  <c r="V316" i="7"/>
  <c r="Z316" i="7"/>
  <c r="V588" i="7"/>
  <c r="Z588" i="7"/>
  <c r="V451" i="7"/>
  <c r="Z451" i="7"/>
  <c r="Z12" i="7"/>
  <c r="V12" i="7"/>
  <c r="V525" i="7"/>
  <c r="Z525" i="7"/>
  <c r="Z916" i="7"/>
  <c r="V916" i="7"/>
  <c r="V458" i="7"/>
  <c r="Z458" i="7"/>
  <c r="V947" i="7"/>
  <c r="Z947" i="7"/>
  <c r="V702" i="7"/>
  <c r="Z702" i="7"/>
  <c r="Z701" i="7"/>
  <c r="V701" i="7"/>
  <c r="V332" i="7"/>
  <c r="Z332" i="7"/>
  <c r="V905" i="7"/>
  <c r="Z905" i="7"/>
  <c r="V672" i="7"/>
  <c r="Z672" i="7"/>
  <c r="V6" i="7"/>
  <c r="Z6" i="7"/>
  <c r="Z996" i="7"/>
  <c r="V996" i="7"/>
  <c r="V353" i="7"/>
  <c r="Z353" i="7"/>
  <c r="V109" i="7"/>
  <c r="Z109" i="7"/>
  <c r="V339" i="7"/>
  <c r="Z339" i="7"/>
  <c r="V238" i="7"/>
  <c r="Z238" i="7"/>
  <c r="V922" i="7"/>
  <c r="Z922" i="7"/>
  <c r="V279" i="7"/>
  <c r="Z279" i="7"/>
  <c r="Z864" i="7"/>
  <c r="V864" i="7"/>
  <c r="V893" i="7"/>
  <c r="Z893" i="7"/>
  <c r="V963" i="7"/>
  <c r="Z963" i="7"/>
  <c r="V66" i="7"/>
  <c r="Z66" i="7"/>
  <c r="V556" i="7"/>
  <c r="Z556" i="7"/>
  <c r="V92" i="7"/>
  <c r="Z92" i="7"/>
  <c r="V180" i="7"/>
  <c r="Z180" i="7"/>
  <c r="V543" i="7"/>
  <c r="Z543" i="7"/>
  <c r="V7" i="7"/>
  <c r="Z7" i="7"/>
  <c r="V408" i="7"/>
  <c r="Z408" i="7"/>
  <c r="V454" i="7"/>
  <c r="Z454" i="7"/>
  <c r="V982" i="7"/>
  <c r="Z982" i="7"/>
  <c r="V732" i="7"/>
  <c r="Z732" i="7"/>
  <c r="V223" i="7"/>
  <c r="Z223" i="7"/>
  <c r="V459" i="7"/>
  <c r="Z459" i="7"/>
  <c r="V323" i="7"/>
  <c r="Z323" i="7"/>
  <c r="V452" i="7"/>
  <c r="Z452" i="7"/>
  <c r="V178" i="7"/>
  <c r="Z178" i="7"/>
  <c r="V926" i="7"/>
  <c r="Z926" i="7"/>
  <c r="V636" i="7"/>
  <c r="Z636" i="7"/>
  <c r="V603" i="7"/>
  <c r="Z603" i="7"/>
  <c r="V759" i="7"/>
  <c r="Z759" i="7"/>
  <c r="Z563" i="7"/>
  <c r="V563" i="7"/>
  <c r="V541" i="7"/>
  <c r="Z541" i="7"/>
  <c r="V446" i="7"/>
  <c r="Z446" i="7"/>
  <c r="V58" i="7"/>
  <c r="Z58" i="7"/>
  <c r="V614" i="7"/>
  <c r="Z614" i="7"/>
  <c r="V96" i="7"/>
  <c r="Z96" i="7"/>
  <c r="V859" i="7"/>
  <c r="Z859" i="7"/>
  <c r="Z657" i="7"/>
  <c r="V657" i="7"/>
  <c r="Z649" i="7"/>
  <c r="V649" i="7"/>
  <c r="V596" i="7"/>
  <c r="Z596" i="7"/>
  <c r="V213" i="7"/>
  <c r="Z213" i="7"/>
  <c r="V372" i="7"/>
  <c r="Z372" i="7"/>
  <c r="V950" i="7"/>
  <c r="Z950" i="7"/>
  <c r="V79" i="7"/>
  <c r="Z79" i="7"/>
  <c r="V330" i="7"/>
  <c r="Z330" i="7"/>
  <c r="V889" i="7"/>
  <c r="Z889" i="7"/>
  <c r="V255" i="7"/>
  <c r="Z255" i="7"/>
  <c r="V486" i="7"/>
  <c r="Z486" i="7"/>
  <c r="Z761" i="7"/>
  <c r="V761" i="7"/>
  <c r="V680" i="7"/>
  <c r="Z680" i="7"/>
  <c r="V971" i="7"/>
  <c r="Z971" i="7"/>
  <c r="V61" i="7"/>
  <c r="Z61" i="7"/>
  <c r="V769" i="7"/>
  <c r="Z769" i="7"/>
  <c r="V719" i="7"/>
  <c r="Z719" i="7"/>
  <c r="V445" i="7"/>
  <c r="Z445" i="7"/>
  <c r="V267" i="7"/>
  <c r="Z267" i="7"/>
  <c r="V157" i="7"/>
  <c r="Z157" i="7"/>
  <c r="V355" i="7"/>
  <c r="Z355" i="7"/>
  <c r="V201" i="7"/>
  <c r="Z201" i="7"/>
  <c r="V389" i="7"/>
  <c r="Z389" i="7"/>
  <c r="V34" i="7"/>
  <c r="Z34" i="7"/>
  <c r="V608" i="7"/>
  <c r="Z608" i="7"/>
  <c r="V111" i="7"/>
  <c r="Z111" i="7"/>
  <c r="V101" i="7"/>
  <c r="Z101" i="7"/>
  <c r="V35" i="7"/>
  <c r="Z35" i="7"/>
  <c r="Z796" i="7"/>
  <c r="V796" i="7"/>
  <c r="V873" i="7"/>
  <c r="Z873" i="7"/>
  <c r="V765" i="7"/>
  <c r="Z765" i="7"/>
  <c r="V487" i="7"/>
  <c r="Z487" i="7"/>
  <c r="V939" i="7"/>
  <c r="Z939" i="7"/>
  <c r="V531" i="7"/>
  <c r="Z531" i="7"/>
  <c r="V975" i="7"/>
  <c r="Z975" i="7"/>
  <c r="V853" i="7"/>
  <c r="Z853" i="7"/>
  <c r="V986" i="7"/>
  <c r="Z986" i="7"/>
  <c r="V870" i="7"/>
  <c r="Z870" i="7"/>
  <c r="V282" i="7"/>
  <c r="Z282" i="7"/>
  <c r="V946" i="7"/>
  <c r="Z946" i="7"/>
  <c r="C67" i="9" l="1"/>
  <c r="O67" i="9" s="1"/>
  <c r="H9" i="4" s="1"/>
  <c r="C66" i="9"/>
  <c r="C57" i="9"/>
  <c r="I66" i="9"/>
  <c r="I78" i="9" s="1"/>
  <c r="I57" i="9"/>
  <c r="O66" i="9" l="1"/>
  <c r="C78" i="9"/>
  <c r="O78" i="9" s="1"/>
  <c r="H8" i="4" l="1"/>
  <c r="O80" i="9"/>
  <c r="O82" i="9" s="1"/>
  <c r="J8" i="4" l="1"/>
  <c r="C46" i="2" s="1"/>
  <c r="C43" i="2" s="1"/>
  <c r="J9" i="4"/>
</calcChain>
</file>

<file path=xl/sharedStrings.xml><?xml version="1.0" encoding="utf-8"?>
<sst xmlns="http://schemas.openxmlformats.org/spreadsheetml/2006/main" count="1410" uniqueCount="661">
  <si>
    <t xml:space="preserve">TSV Deizisau </t>
  </si>
  <si>
    <t xml:space="preserve">TSV Denkendorf </t>
  </si>
  <si>
    <t xml:space="preserve">TSV Frickenhausen </t>
  </si>
  <si>
    <t xml:space="preserve">TSV Grötzingen </t>
  </si>
  <si>
    <t xml:space="preserve">TSV Holzmaden </t>
  </si>
  <si>
    <t>TSV Jesingen</t>
  </si>
  <si>
    <t xml:space="preserve">TSV Kohlberg </t>
  </si>
  <si>
    <t xml:space="preserve">TSV Köngen </t>
  </si>
  <si>
    <t>Gau (Kür)</t>
  </si>
  <si>
    <t>I</t>
  </si>
  <si>
    <t>International</t>
  </si>
  <si>
    <t xml:space="preserve">TSV Lichtenwald </t>
  </si>
  <si>
    <t>TSV Linsenhofen</t>
  </si>
  <si>
    <t xml:space="preserve">TSV Neckartailfingen </t>
  </si>
  <si>
    <t xml:space="preserve">TSV Neckartenzlingen </t>
  </si>
  <si>
    <t xml:space="preserve">TSV Neuenhaus </t>
  </si>
  <si>
    <t>TSV Neuhausen</t>
  </si>
  <si>
    <t xml:space="preserve">TSV Notzingen </t>
  </si>
  <si>
    <t>TSV Oberboihingen</t>
  </si>
  <si>
    <t xml:space="preserve">TSV Oberlenningen </t>
  </si>
  <si>
    <t xml:space="preserve">TSV Ohmden </t>
  </si>
  <si>
    <t xml:space="preserve">TSV Ötlingen </t>
  </si>
  <si>
    <t xml:space="preserve">TSV Owen </t>
  </si>
  <si>
    <t xml:space="preserve">TSV Raidwangen </t>
  </si>
  <si>
    <t xml:space="preserve">TSV Scharnhausen </t>
  </si>
  <si>
    <t xml:space="preserve">TSV Wäldenbronn </t>
  </si>
  <si>
    <t xml:space="preserve">TSV Wendlingen </t>
  </si>
  <si>
    <t xml:space="preserve">TSV Wernau </t>
  </si>
  <si>
    <t>Sollten Sie Ihren Verein in der Vereinsauswahl-Liste nicht finden, so geben Sie die korrekte Vereinsbezeichnung</t>
  </si>
  <si>
    <t>und den zugehörigen Turngau in unten stehende Felder ein!</t>
  </si>
  <si>
    <t xml:space="preserve">TSV Wolfschlugen </t>
  </si>
  <si>
    <t xml:space="preserve">TSV Zizishausen </t>
  </si>
  <si>
    <t xml:space="preserve">TV Altbach </t>
  </si>
  <si>
    <t xml:space="preserve">TV Bempflingen </t>
  </si>
  <si>
    <t>TV Bissingen</t>
  </si>
  <si>
    <t xml:space="preserve">TV Gutenberg </t>
  </si>
  <si>
    <t xml:space="preserve">TV Hegensberg </t>
  </si>
  <si>
    <t xml:space="preserve">TV Kemnat </t>
  </si>
  <si>
    <t xml:space="preserve">TV Liebersbronn </t>
  </si>
  <si>
    <t xml:space="preserve">TV Neidlingen </t>
  </si>
  <si>
    <t>TV Plochingen</t>
  </si>
  <si>
    <t>Wenn ein Teilnehmer an einem WAHL-Wettkampf teilnimmt, tragen Sie die Kennzahlen der Disziplinen bzw. Geräteübungen ein, die geturnt werden sollen. Wir übernehmen diese Angaben auf die Wettkampfkarte, so dass der Riegenführer vor allem den jüngeren Teilnehmern sagen kann, was sie machen müssen.</t>
  </si>
  <si>
    <t>Noch ein Hinweis für Excel-Experten und Software-Entwickler: wir haben die Arbeitsmappe und die einzelnen Blätter mit einem Kennwort so geschützt, dass nur die Felder geändert werden können, in die vom Vereinsmitarbeiter Daten eingegeben werden sollen. Wenn Sie der Meinung sind, dass andere Felder geändert werden müssen oder dass in Felder Werte eingegeben werden müssen, die dort nicht zugelassen sind, so überprüfen Sie bitte, ob Sie wirklich das richtige Excel-Formular benutzen. Wenn Sie Kennwort-geschützte Felder und Einstellungen verändern, kann das Anmeldeformular eventuell nicht mehr automatisch verarbeitet werden und muss an Sie zurückgeschickt werden.</t>
  </si>
  <si>
    <t xml:space="preserve">TV Tischardt </t>
  </si>
  <si>
    <t xml:space="preserve">TV Unterboihingen </t>
  </si>
  <si>
    <t xml:space="preserve">TV Unterlenningen </t>
  </si>
  <si>
    <t>Die Zahlen auf dieser Seite werden aus Ihren Angaben auf den vorhergehenden Blättern</t>
  </si>
  <si>
    <t>automatisch errechnet</t>
  </si>
  <si>
    <t>Bezeichnung</t>
  </si>
  <si>
    <t>Disziplinen</t>
  </si>
  <si>
    <t>Gebühr</t>
  </si>
  <si>
    <t>Mitarbeiter</t>
  </si>
  <si>
    <t>Mannschaften</t>
  </si>
  <si>
    <t>Gesamt</t>
  </si>
  <si>
    <t>Zuschlag bei verspäteter Anmeldung:</t>
  </si>
  <si>
    <t>Kaution pro Mitarbeiter:</t>
  </si>
  <si>
    <t>Versandkostenpauschale:</t>
  </si>
  <si>
    <t>Meldegebühr für Teilnehmer/Mannschaften:</t>
  </si>
  <si>
    <t>Kaution für Mitarbeiter:</t>
  </si>
  <si>
    <t>Meldegebühr gesamt:</t>
  </si>
  <si>
    <t>Veranstaltungskürzel</t>
  </si>
  <si>
    <t>Titel</t>
  </si>
  <si>
    <t>Veranstalter</t>
  </si>
  <si>
    <t>Untertitel</t>
  </si>
  <si>
    <t>Termin</t>
  </si>
  <si>
    <t>Ausrichter</t>
  </si>
  <si>
    <t>Meldeschluss</t>
  </si>
  <si>
    <t>Meldeschluss + 1 Tag</t>
  </si>
  <si>
    <t>Schwäbischer Turnerbund</t>
  </si>
  <si>
    <t>TSV Berkheim</t>
  </si>
  <si>
    <t>dem Veranstalter</t>
  </si>
  <si>
    <t>den Veranstalter</t>
  </si>
  <si>
    <t>Email</t>
  </si>
  <si>
    <t>Telefax</t>
  </si>
  <si>
    <t>Schwäbischen Turnerbund</t>
  </si>
  <si>
    <t>Stuttgart</t>
  </si>
  <si>
    <t>0711/28077-270</t>
  </si>
  <si>
    <t>Aerobic</t>
  </si>
  <si>
    <t>Dance</t>
  </si>
  <si>
    <t>Gerätturnen weiblich</t>
  </si>
  <si>
    <t xml:space="preserve">Sport und Spiel auf den Fildern </t>
  </si>
  <si>
    <t xml:space="preserve">SV Aich </t>
  </si>
  <si>
    <t xml:space="preserve">Svgg Esslingen </t>
  </si>
  <si>
    <t xml:space="preserve">TSG Waldheim Esslingen </t>
  </si>
  <si>
    <t xml:space="preserve">TSV RSK Esslingen </t>
  </si>
  <si>
    <t xml:space="preserve">SC Altbach </t>
  </si>
  <si>
    <t>Gymnastik (RSG)</t>
  </si>
  <si>
    <t>Gymnastik und Tanz</t>
  </si>
  <si>
    <t>Leichtathletik</t>
  </si>
  <si>
    <t>Rhönradturnen</t>
  </si>
  <si>
    <t>TGM/TGW/SGW</t>
  </si>
  <si>
    <t>Trampolinturnen</t>
  </si>
  <si>
    <t>WK-Gymnastik</t>
  </si>
  <si>
    <t>Lizenz-Art</t>
  </si>
  <si>
    <t>Beschreibung</t>
  </si>
  <si>
    <t>A</t>
  </si>
  <si>
    <t>Bund</t>
  </si>
  <si>
    <t>Land</t>
  </si>
  <si>
    <t>C</t>
  </si>
  <si>
    <t>D</t>
  </si>
  <si>
    <t>LA</t>
  </si>
  <si>
    <t>Gerätturnen</t>
  </si>
  <si>
    <t>Gymnastik</t>
  </si>
  <si>
    <t>Alles</t>
  </si>
  <si>
    <t>Validierung Geburtsdatum</t>
  </si>
  <si>
    <t>X</t>
  </si>
  <si>
    <t>Minimal:</t>
  </si>
  <si>
    <t>A1</t>
  </si>
  <si>
    <t>Maximal:</t>
  </si>
  <si>
    <t>A2</t>
  </si>
  <si>
    <t>A3</t>
  </si>
  <si>
    <t>A4</t>
  </si>
  <si>
    <t>A5</t>
  </si>
  <si>
    <t>A6</t>
  </si>
  <si>
    <t>A7</t>
  </si>
  <si>
    <t>A8</t>
  </si>
  <si>
    <t>A9</t>
  </si>
  <si>
    <t>B1</t>
  </si>
  <si>
    <t>B2</t>
  </si>
  <si>
    <t>B3</t>
  </si>
  <si>
    <t>B4</t>
  </si>
  <si>
    <t>B5</t>
  </si>
  <si>
    <t>B6</t>
  </si>
  <si>
    <t>B7</t>
  </si>
  <si>
    <t>B8</t>
  </si>
  <si>
    <t>B9</t>
  </si>
  <si>
    <t>B10</t>
  </si>
  <si>
    <t xml:space="preserve">Liebe Mitarbeiterin, lieber Mitarbeiter im Verein, </t>
  </si>
  <si>
    <t>1.</t>
  </si>
  <si>
    <t>2.</t>
  </si>
  <si>
    <t>3.</t>
  </si>
  <si>
    <t>Durch die rechtzeitige Abgabe der Meldung ermöglichen Sie eine bessere Planung und Vorbereitung.</t>
  </si>
  <si>
    <t>Unvollständige Anmeldungen müssen wir leider unbearbeitet an Sie zurücksenden.</t>
  </si>
  <si>
    <t>Erläuterung der Farb-Markierungen:</t>
  </si>
  <si>
    <t>Diese Felder müssen vom Vereinsmitarbeiter bei der Anmeldung ausgefüllt werden</t>
  </si>
  <si>
    <t>Für die Höhe der Meldegebühr ist allein die Ausschreibung maßgeblich. Die aufgrund der Mannschafts- und Teilnehmer-Anmeldung automatisch auf dem Deckblatt dieses Formulars eingetragene Meldegebühr soll Ihnen die Arbeit erleichtern, dient aber lediglich zu ihrer Information. Bitte überprüfen Sie die automatisch errechnete Meldegebühr anhand der Angaben in der Ausschreibung.</t>
  </si>
  <si>
    <t>VfL Kirchheim/Teck</t>
  </si>
  <si>
    <t>RKV Kirchheim</t>
  </si>
  <si>
    <t>TG Kirchheim</t>
  </si>
  <si>
    <t>Trivital Kirchheim/Teck</t>
  </si>
  <si>
    <t>TV Nellingen</t>
  </si>
  <si>
    <t>Narrenbund Neuhausen</t>
  </si>
  <si>
    <t>RSV Reichenbach</t>
  </si>
  <si>
    <t>TV Reichenbach</t>
  </si>
  <si>
    <t>TSV Schopfloch</t>
  </si>
  <si>
    <t>Helfer ohne Lizenz</t>
  </si>
  <si>
    <t>Startpass-Nr. (wenn erforderlich)</t>
  </si>
  <si>
    <t>Andrea Knemeyer</t>
  </si>
  <si>
    <t>MELDEBOGEN TURNGAU NECKAR-TECK</t>
  </si>
  <si>
    <t>Summe Helfer ohne Lizenz:</t>
  </si>
  <si>
    <t>Je 1 Helfer ist zu stellen pro Teilnehmeranzahl:</t>
  </si>
  <si>
    <t>ZZZ_ENDE LISTE</t>
  </si>
  <si>
    <t>-</t>
  </si>
  <si>
    <t>TSV Weilheim</t>
  </si>
  <si>
    <t>TV Zell</t>
  </si>
  <si>
    <t>Wenn Sie an ihrem Computer die Ausführung von Makros abgeschaltet haben, haben Sie beim Öffnen dieser Datei eine Warnung erhalten. Diese Excel-Datei enthält einen Makro, der beim Öffnen der Datei automatisch das aktuelle Datum in das Feld "Anmeldedatum" auf der Seite "Deckblatt" einträgt. Sie können das Anmeldedatum natürlich auch von Hand ausfüllen und brauchen dann Makros nicht einzuschalten.</t>
  </si>
  <si>
    <t>An</t>
  </si>
  <si>
    <t>E-Mail:</t>
  </si>
  <si>
    <t>Fax:</t>
  </si>
  <si>
    <t>Veranstaltungsdaten</t>
  </si>
  <si>
    <t>Veranstaltung:</t>
  </si>
  <si>
    <t>Veranstalter:</t>
  </si>
  <si>
    <t>Titel:</t>
  </si>
  <si>
    <t>Untertitel:</t>
  </si>
  <si>
    <t>Termin:</t>
  </si>
  <si>
    <t>Anmeldeschluss:</t>
  </si>
  <si>
    <t>Ort:</t>
  </si>
  <si>
    <t>Ausrichter:</t>
  </si>
  <si>
    <t>Vereinsdaten</t>
  </si>
  <si>
    <t>Vereinsauswahl:</t>
  </si>
  <si>
    <t>Turngau:</t>
  </si>
  <si>
    <t>Verein:</t>
  </si>
  <si>
    <t>Meldeverantwortlicher</t>
  </si>
  <si>
    <t>Nachname:</t>
  </si>
  <si>
    <t>Vorname:</t>
  </si>
  <si>
    <t>Strasse:</t>
  </si>
  <si>
    <t>PLZ:</t>
  </si>
  <si>
    <t>Telefon:</t>
  </si>
  <si>
    <t>Telefax:</t>
  </si>
  <si>
    <t>eMail:</t>
  </si>
  <si>
    <t>Anmeldungsübersicht</t>
  </si>
  <si>
    <t>Anzahl Teilnehmer:</t>
  </si>
  <si>
    <t>Anzahl Mannschaften:</t>
  </si>
  <si>
    <t>Meldegebühr:</t>
  </si>
  <si>
    <t>Vereinsvorführungen</t>
  </si>
  <si>
    <t>Wir freuen uns über Ihren aktiven Beitrag zur Gestaltung des Festnachmittags.</t>
  </si>
  <si>
    <t>Bitte tragen Sie Vorführungen Ihrer Gruppen (Gymnastik, Tanz, Turnen, ..) hier ein:</t>
  </si>
  <si>
    <t>Mit der Abgabe der Anmeldung erkenne ich die Teilnahmebedingungen an.</t>
  </si>
  <si>
    <t>Ich/wir stimmen der elektronischen Speicherung und Auswertung der Anmelde-/</t>
  </si>
  <si>
    <t>Teilnehmerdaten und Ergebnisse sowie deren Veröffentlichung z.B. im Internet zu.</t>
  </si>
  <si>
    <t>Alle angemeldeten Teilnehmer sind Mitglied im oben angegebenen Verein und</t>
  </si>
  <si>
    <t>über diesen ausreichend versichert sind.</t>
  </si>
  <si>
    <t>Anmeldedatum:</t>
  </si>
  <si>
    <t>Unterschrift:</t>
  </si>
  <si>
    <t>Zahlung</t>
  </si>
  <si>
    <t>(Bitte eine der Alternativen ankreuzen)</t>
  </si>
  <si>
    <t>Konto-Nummer:</t>
  </si>
  <si>
    <t>Bank:</t>
  </si>
  <si>
    <t>BLZ:</t>
  </si>
  <si>
    <t>Konto-Inhaber:</t>
  </si>
  <si>
    <t>und senden Sie diese Datei per E-Mail an:</t>
  </si>
  <si>
    <t>© 2005 Ing.-Büro Allmendinger, Salach.</t>
  </si>
  <si>
    <t>Mannschaft</t>
  </si>
  <si>
    <t>anderer Verein:</t>
  </si>
  <si>
    <t>im Turngau:</t>
  </si>
  <si>
    <t>Disziplinen für Wahlwettkampf</t>
  </si>
  <si>
    <t>Teilnehmer</t>
  </si>
  <si>
    <t>Mannschafts-Nr.</t>
  </si>
  <si>
    <t>Wettkampf-Nr.</t>
  </si>
  <si>
    <t>Anzahl</t>
  </si>
  <si>
    <t>Bezeich-nung</t>
  </si>
  <si>
    <t>Wettkampf</t>
  </si>
  <si>
    <t>Disziplinen für den Wahlwettkampf</t>
  </si>
  <si>
    <t>Nachname</t>
  </si>
  <si>
    <t>Vorname</t>
  </si>
  <si>
    <t>Geburts-Datum</t>
  </si>
  <si>
    <t>WK-Nr.</t>
  </si>
  <si>
    <t>Straße</t>
  </si>
  <si>
    <t>PLZ</t>
  </si>
  <si>
    <t>Ort</t>
  </si>
  <si>
    <t>Telefon</t>
  </si>
  <si>
    <t>E-Mail</t>
  </si>
  <si>
    <t>Fachgebiet</t>
  </si>
  <si>
    <t>Lizenz</t>
  </si>
  <si>
    <t>Gerätturnen männlich</t>
  </si>
  <si>
    <t>B</t>
  </si>
  <si>
    <t xml:space="preserve">ASV Aichwald </t>
  </si>
  <si>
    <t>Turngau Neckar-Teck</t>
  </si>
  <si>
    <t xml:space="preserve">EK Wolfschlugen </t>
  </si>
  <si>
    <t xml:space="preserve">Förderv.f.Kinder u.Jugendliche Neckartenzlingen </t>
  </si>
  <si>
    <t xml:space="preserve">Karnevalsfreunde Esslingen </t>
  </si>
  <si>
    <t xml:space="preserve">PSW GG Esslingen </t>
  </si>
  <si>
    <t xml:space="preserve">SC Schneesterne Deizisau </t>
  </si>
  <si>
    <t>Tel.:</t>
  </si>
  <si>
    <t>Bitte speichern Sie diese Excel-Arbeitsmappe als Datei unter folgendem Namen:</t>
  </si>
  <si>
    <t>SF Wernau</t>
  </si>
  <si>
    <t>SFC Wolpertingen</t>
  </si>
  <si>
    <t xml:space="preserve">SG Eintracht Sirnau </t>
  </si>
  <si>
    <t xml:space="preserve">SG Erkenbrechtsweiler/Hochwang </t>
  </si>
  <si>
    <t xml:space="preserve">SG Esslingen </t>
  </si>
  <si>
    <t>Eichenkreuz Wolfschlugen</t>
  </si>
  <si>
    <t>Förderverein f. Kinder u.Jugendliche Neckartenzlingen</t>
  </si>
  <si>
    <t>PSW Gymnastikgruppe Esslingen</t>
  </si>
  <si>
    <t xml:space="preserve">SKV Unterensingen </t>
  </si>
  <si>
    <t xml:space="preserve">SLV Lenninger Tal </t>
  </si>
  <si>
    <t xml:space="preserve">SSF Kappishäuser </t>
  </si>
  <si>
    <t>Gesellschaft Zwieblingen Esslingen</t>
  </si>
  <si>
    <t>TSV Beuren</t>
  </si>
  <si>
    <t>SF Dettingen-Teck</t>
  </si>
  <si>
    <t>TV Hochdorf</t>
  </si>
  <si>
    <t xml:space="preserve">SSV Esslingen </t>
  </si>
  <si>
    <t>Gau (Pflicht)</t>
  </si>
  <si>
    <t>Mittlere Dickne 3</t>
  </si>
  <si>
    <t>Plochingen</t>
  </si>
  <si>
    <t>andrea.knemeyer@arcor.de</t>
  </si>
  <si>
    <t xml:space="preserve">SV Hardt </t>
  </si>
  <si>
    <t>SV Mettingen</t>
  </si>
  <si>
    <t xml:space="preserve">SV Nabern </t>
  </si>
  <si>
    <t xml:space="preserve">SV Reudern </t>
  </si>
  <si>
    <t xml:space="preserve">SV Schlattstall </t>
  </si>
  <si>
    <t xml:space="preserve">Svgg Germania Schlaitdorf </t>
  </si>
  <si>
    <t xml:space="preserve">Svgg Nürtingen </t>
  </si>
  <si>
    <t>Anmeldung_STB_2005.xls V12</t>
  </si>
  <si>
    <t xml:space="preserve">TB Neckarhausen </t>
  </si>
  <si>
    <t xml:space="preserve">TB Neuffen </t>
  </si>
  <si>
    <t xml:space="preserve">TB Ruit </t>
  </si>
  <si>
    <t xml:space="preserve">TG Nürtingen </t>
  </si>
  <si>
    <t xml:space="preserve">TGV Balzholz </t>
  </si>
  <si>
    <t xml:space="preserve">Trivital Nürtingen </t>
  </si>
  <si>
    <t>TS Esslingen</t>
  </si>
  <si>
    <t>TSGV Großbettlingen</t>
  </si>
  <si>
    <t xml:space="preserve">TSV Altdorf </t>
  </si>
  <si>
    <t xml:space="preserve">TSV Altenriet </t>
  </si>
  <si>
    <t xml:space="preserve">TSV Baltmannsweiler </t>
  </si>
  <si>
    <t>Nachmeldegebühr</t>
  </si>
  <si>
    <t>Hinweis:</t>
  </si>
  <si>
    <t>Vom Geb.-Datum ist nur der Jahrgang wichtig !</t>
  </si>
  <si>
    <t>Gerätturnen und Leichtathletik</t>
  </si>
  <si>
    <t>Summen gesamt:</t>
  </si>
  <si>
    <t>Summen Gymnastik:</t>
  </si>
  <si>
    <t>davon relevant für Mitarbeiter-Anzahl Gymnastik:</t>
  </si>
  <si>
    <t>davon relevant für Mitarbeiter-Anzahl andere Fachgebiete:</t>
  </si>
  <si>
    <t>Summe Kampfrichter Gymnastik (RSG) mit Lizenz:</t>
  </si>
  <si>
    <t>Dieses Blatt nur ausfüllen, wenn Teilnehmer</t>
  </si>
  <si>
    <t>in Mannschaftswettkämpfen gemeldet werden</t>
  </si>
  <si>
    <t>Die Teilnehmer müssen zuerst im Tabellenblatt</t>
  </si>
  <si>
    <t>"Teilnehmer" eingegeben werden</t>
  </si>
  <si>
    <t xml:space="preserve">In diesem Blatt wird der jeweiligen Mannschaft </t>
  </si>
  <si>
    <t>---</t>
  </si>
  <si>
    <t>Esslingen-Berkheim</t>
  </si>
  <si>
    <t>Fritz-Walter-Weg 15</t>
  </si>
  <si>
    <t>info@tgnt.de</t>
  </si>
  <si>
    <t>0711/28077-747</t>
  </si>
  <si>
    <t>0711/28077-759</t>
  </si>
  <si>
    <t>Wettkämpfe</t>
  </si>
  <si>
    <t>ENDE</t>
  </si>
  <si>
    <t>Wahl-4-Kampf; Jungen 8 Jahre</t>
  </si>
  <si>
    <t>Wahl-4-Kampf; Jungen 9 Jahre</t>
  </si>
  <si>
    <t>Wahl-4-Kampf; Jungen 10 Jahre</t>
  </si>
  <si>
    <t>Wahl-4-Kampf; Jungen 11 Jahre</t>
  </si>
  <si>
    <t>Wahl-4-Kampf; Jungen 12 Jahre</t>
  </si>
  <si>
    <t>Wahl-4-Kampf; Jungen 13 Jahre</t>
  </si>
  <si>
    <t>Wahl-4-Kampf; Mädchen 9 Jahre</t>
  </si>
  <si>
    <t>Wahl-4-Kampf; Mädchen 10 Jahre</t>
  </si>
  <si>
    <t>Wahl-4-Kampf; Mädchen 11 Jahre</t>
  </si>
  <si>
    <t>Wahl-4-Kampf; Mädchen 12 Jahre</t>
  </si>
  <si>
    <t>Wahl-4-Kampf; Mädchen 13 Jahre</t>
  </si>
  <si>
    <t>Wahl-4-Kampf; Mädchen 8 Jahre</t>
  </si>
  <si>
    <t>Schülermehrkampf; Jungen 9 Jahre</t>
  </si>
  <si>
    <t>Schülermehrkampf; Jungen 10 Jahre</t>
  </si>
  <si>
    <t>Schülermehrkampf; Jungen 11 Jahre</t>
  </si>
  <si>
    <t>Schülermehrkampf; Jungen 12 Jahre</t>
  </si>
  <si>
    <t>Schülermehrkampf; Jungen 13 Jahre</t>
  </si>
  <si>
    <t>Schülermehrkampf; Jungen 8 Jahre</t>
  </si>
  <si>
    <t>Schülerinnenmehrkampf; Mädchen 9 Jahre</t>
  </si>
  <si>
    <t>Schülerinnenmehrkampf; Mädchen 10 Jahre</t>
  </si>
  <si>
    <t>Schülerinnenmehrkampf; Mädchen 11 Jahre</t>
  </si>
  <si>
    <t>Schülerinnenmehrkampf; Mädchen 12 Jahre</t>
  </si>
  <si>
    <t>Schülerinnenmehrkampf; Mädchen 13 Jahre</t>
  </si>
  <si>
    <t>Schülerinnenmehrkampf; Mädchen 8 Jahre</t>
  </si>
  <si>
    <t xml:space="preserve">Platz für </t>
  </si>
  <si>
    <t>Je 1 Kari ist zu stellen pro Teilnehmeranzahl</t>
  </si>
  <si>
    <t>Aktiver ?</t>
  </si>
  <si>
    <t>SV 1845 Esslingen</t>
  </si>
  <si>
    <t>Rope Skipping</t>
  </si>
  <si>
    <t>Eine Teilnahme an Wettkämpfen von Vereinen des TGNT ist nur mit Dauereinzugsermächtigung möglich !!!</t>
  </si>
  <si>
    <t>Nur Turngau-fremde Vereine können eine Einzel-Einzugsermächtigung machen !!!</t>
  </si>
  <si>
    <t>Wenn elektronisch versendet auch ohne Unterschrift gültig</t>
  </si>
  <si>
    <t>Fahnenband gewünscht ?</t>
  </si>
  <si>
    <t>JG min</t>
  </si>
  <si>
    <t>JG max</t>
  </si>
  <si>
    <t xml:space="preserve">Dieses Anmeldungsformular für Microsoft Excel soll Ihnen und den Mitarbeitern des Organisationsteams die Arbeit erleichtern. Die in diesem Formular eingegebenen Daten übernehmen wir automatisch in das Programm WOTuS, mit dem die Unterlagen für die Wettkämpfe ausgedruckt, die Ergebnisse erfasst und dann Urkunden und Siegerlisten gedruckt werden. Achten Sie deshalb beim Ausfüllen nicht nur auf die richtige Schreibweise der Vor- und Nachnamen, sondern insbesondere auf die Angabe der richtigen Wettkampf-Nummer. </t>
  </si>
  <si>
    <t>Liegt von Ihrem Verein eine Dauereinzugsermächtigung vor, so brauchen Sie zunächst nichts weiter zu machen. Andernfalls müssen Sie diese dem Turngau Neckar-Teck geben, sonst ist eine Teilnahme am Wettkampf nicht möglich</t>
  </si>
  <si>
    <t>Summe Kampfrichter Rope Skipping mit Lizenz:</t>
  </si>
  <si>
    <t>davon relevant für Mitarbeiter-Anzahl Rope Skipping:</t>
  </si>
  <si>
    <t>Summen Rope Skipping:</t>
  </si>
  <si>
    <t>Das Datum aber unbedingt im Format tt.mm.jjjj eingeben</t>
  </si>
  <si>
    <t>WWK-Geräte</t>
  </si>
  <si>
    <t>Wahlwettkampfgeräte TG Neckar-Teck</t>
  </si>
  <si>
    <t>Stufenbarren/Reck</t>
  </si>
  <si>
    <t>Schwebebalken</t>
  </si>
  <si>
    <t>Ball</t>
  </si>
  <si>
    <t>Band</t>
  </si>
  <si>
    <t>Reifen</t>
  </si>
  <si>
    <t>Seil</t>
  </si>
  <si>
    <t>Keulen</t>
  </si>
  <si>
    <t>Lauf</t>
  </si>
  <si>
    <t>Schlagball</t>
  </si>
  <si>
    <t>Weitsprung</t>
  </si>
  <si>
    <t>Minitramp</t>
  </si>
  <si>
    <t>Je 1 Kampfrichter Rope Skipping ist zu stellen pro Teilnehmeranzahl:</t>
  </si>
  <si>
    <t>Gerätturnen Einzel und Mannschaft</t>
  </si>
  <si>
    <t>Wernau</t>
  </si>
  <si>
    <t>TSV Wernau</t>
  </si>
  <si>
    <t>Pflicht-4-Kampf P2-P5; Jungen 8 Jahre Einzel</t>
  </si>
  <si>
    <t>Pflicht-4-Kampf P2-P5; Jungen 9 Jahre Einzel</t>
  </si>
  <si>
    <t>Pflicht-5-Kampf P3-P6; Jungen 10 Jahre Einzel</t>
  </si>
  <si>
    <t>Pflicht-5-Kampf P3-P6; Jungen 11 Jahre Einzel</t>
  </si>
  <si>
    <t>Pflicht-6-Kampf P4-P7; Jungen 12 Jahre Einzel</t>
  </si>
  <si>
    <t>Pflicht-6-Kampf P4-P7; Jungen 13 Jahre Einzel</t>
  </si>
  <si>
    <t>Pflicht-4-Kampf P2-P5; Mädchen 8 Jahre Einzel</t>
  </si>
  <si>
    <t>Pflicht-4-Kampf P2-P5; Mädchen 9 Jahre Einzel</t>
  </si>
  <si>
    <t>Pflicht-4-Kampf P3-P6; Mädchen 10 Jahre Einzel</t>
  </si>
  <si>
    <t>Pflicht-4-Kampf P3-P6; Mädchen 11 Jahre Einzel</t>
  </si>
  <si>
    <t>Pflicht-4-Kampf P4-P7; Mädchen 12 Jahre Einzel</t>
  </si>
  <si>
    <t>Pflicht-4-Kampf P4-P7; Mädchen 13 Jahre Einzel</t>
  </si>
  <si>
    <t>Pflicht-4-Kampf P2-P5; Mädchen 8/9 Jahre Mannschaft</t>
  </si>
  <si>
    <t>Pflicht-4-Kampf P3-P6; Mädchen 10/11 Jahre Mannschaft</t>
  </si>
  <si>
    <t>Pflicht-4-Kampf P4-P7; Mädchen 12/13 Jahre Mannschaft</t>
  </si>
  <si>
    <t>Pflicht-4-Kampf P2-P5; Jungen 8/9 Jahre Mannschaft</t>
  </si>
  <si>
    <t>Pflicht-5-Kampf P3-P6; Jungen 10/11 Jahre Mannschaft</t>
  </si>
  <si>
    <t>Pflicht-6-Kampf P4-P7; Jungen 12/13 Jahre Mannschaft</t>
  </si>
  <si>
    <t>Meldungen ohne genügend Kampfrichter bzw. Helfer werden nicht mehr angenommen !</t>
  </si>
  <si>
    <t>Die erforderliche Zahl entnehmen Sie bitte der Ausschreibung:</t>
  </si>
  <si>
    <t>Es müssten sein:</t>
  </si>
  <si>
    <t>Karis</t>
  </si>
  <si>
    <t>erforderliche Anzahl Kampfrichter Gymnastik</t>
  </si>
  <si>
    <t>erforderliche Anzahl Kampfrichter Rope Skipping</t>
  </si>
  <si>
    <t>erforderliche Anzahl Helfer</t>
  </si>
  <si>
    <t>erforderliche Anzahl Kampfrichter Turnen und andere Fachgebiete</t>
  </si>
  <si>
    <t>Helfer</t>
  </si>
  <si>
    <t>Pflicht-4-Kampf P1-P3; Mädchen 8 Jahre Einzel</t>
  </si>
  <si>
    <t>Pflicht-4-Kampf P1-P3; Mädchen 9 Jahre Einzel</t>
  </si>
  <si>
    <t>Pflicht-4-Kampf P1-P4; Mädchen 10 Jahre Einzel</t>
  </si>
  <si>
    <t>Pflicht-4-Kampf P1-P4; Mädchen 11 Jahre Einzel</t>
  </si>
  <si>
    <t>Pflicht-4-Kampf P2-P5; Mädchen 12 Jahre Einzel</t>
  </si>
  <si>
    <t>Pflicht-4-Kampf P2-P5; Mädchen 13 Jahre Einzel</t>
  </si>
  <si>
    <t>Pflicht-4-Kampf P3-P6; Mädchen 14 Jahre und älter Einzel</t>
  </si>
  <si>
    <t>Pflicht-4-Kampf P1-P4; Jungen 8 Jahre Einzel</t>
  </si>
  <si>
    <t>Pflicht-4-Kampf P1-P4; Jungen 9 Jahre Einzel</t>
  </si>
  <si>
    <t>Pflicht-4-Kampf P2-P5; Jungen 10 Jahre Einzel</t>
  </si>
  <si>
    <t>Pflicht-4-Kampf P2-P5; Jungen 11 Jahre Einzel</t>
  </si>
  <si>
    <t>Pflicht-4-Kampf P3-P6; Jungen 12 Jahre Einzel</t>
  </si>
  <si>
    <t>Pflicht-4-Kampf P3-P6; Jungen 13 Jahre Einzel</t>
  </si>
  <si>
    <t>Pflicht-4-Kampf P4-P7; Jungen 14 Jahre und älter Einzel</t>
  </si>
  <si>
    <t>Pflicht-4-Kampf P1-P4; Mädchen 8 Jahre Einzel</t>
  </si>
  <si>
    <t>Pflicht-4-Kampf P1-P4; Mädchen 9 Jahre Einzel</t>
  </si>
  <si>
    <t>Pflicht-4-Kampf P2-P5; Mädchen 10 Jahre Einzel</t>
  </si>
  <si>
    <t>Pflicht-4-Kampf P2-P5; Mädchen 11 Jahre Einzel</t>
  </si>
  <si>
    <t>Pflicht-4-Kampf P3-P6; Mädchen 12 Jahre Einzel</t>
  </si>
  <si>
    <t>Pflicht-4-Kampf P3-P6; Mädchen 13 Jahre Einzel</t>
  </si>
  <si>
    <t>Pflicht-4-Kampf P4-P7; Mädchen 14 Jahre und älter Einzel</t>
  </si>
  <si>
    <t>Pflicht-4-Kampf P1-P3; Mädchen 8/9 Jahre Mannschaft</t>
  </si>
  <si>
    <t>Pflicht-4-Kampf P1-P4; Mädchen 10/11 Jahre Mannschaft</t>
  </si>
  <si>
    <t>Pflicht-4-Kampf P3-P6; Mädchen 14 Jahre und älter Mannschaft</t>
  </si>
  <si>
    <t>Pflicht-4-Kampf P2-P5; Mädchen 12/13 Jahre Mannschaft</t>
  </si>
  <si>
    <t>Pflicht-4-Kampf P1-P4; Mädchen 8/9 Jahre Mannschaft</t>
  </si>
  <si>
    <t>Pflicht-4-Kampf P2-P5; Mädchen 10/11 Jahre Mannschaft</t>
  </si>
  <si>
    <t>Pflicht-4-Kampf P3-P6; Mädchen 12/13 Jahre Mannschaft</t>
  </si>
  <si>
    <t>Pflicht-4-Kampf P4-P7; Mädchen 14 Jahre und älter Mannschaft</t>
  </si>
  <si>
    <t>Pflicht-4-Kampf P1-P4; Jungen 8/9 Jahre Mannschaft</t>
  </si>
  <si>
    <t>Pflicht-4-Kampf P2-P5; Jungen 10/11 Jahre Mannschaft</t>
  </si>
  <si>
    <t>Pflicht-4-Kampf P3-P6; Jungen 12/13 Jahre Mannschaft</t>
  </si>
  <si>
    <t>Pflicht-4-Kampf P4-P7; Jungen 14 Jahre und älter Mannschaft</t>
  </si>
  <si>
    <t>Hinweise:</t>
  </si>
  <si>
    <t>Und vergesst die WK-Nr. nicht !</t>
  </si>
  <si>
    <t>Einzel und Mannschaft unterschiedlich !</t>
  </si>
  <si>
    <t>Entgegen den Ausschreibungen genügt die Angabe der Namen, Fachgebiet und Lizenz der Karis / Helfer</t>
  </si>
  <si>
    <t>Ist die E-Mail-Adresse angegeben, so erhält der Kari die Informationen ebenfalls per Mail</t>
  </si>
  <si>
    <t>Ohne Angabe ist der Meldeverantwortliche dafür verantwortlich, dass der Kari alle erforderlichen Informationen erhält.</t>
  </si>
  <si>
    <t>Kugel</t>
  </si>
  <si>
    <t>Mannschafts-Name</t>
  </si>
  <si>
    <t>Überprüfen Sie die Seiten "Deckblatt" und "Übersicht", ob alles richtig ist. Beachten Sie vor allem dabei unvollständige Angaben.</t>
  </si>
  <si>
    <t>Meldegebühr pro aktiven Teilnehmer/Mannschaft (20 Jahre und älter)</t>
  </si>
  <si>
    <t>Meldegebühr pro jugendlichen Teilnehmer/Mannschaft (19 Jahre und jünger)</t>
  </si>
  <si>
    <t>hier 2x eintragen !!! (in 2 Zeilen)</t>
  </si>
  <si>
    <t>Eine Mannschaft besteht aus:</t>
  </si>
  <si>
    <t>(die 3 Besten kommen in die Wertung)</t>
  </si>
  <si>
    <t>E</t>
  </si>
  <si>
    <t>Gau (Grundlizenz)</t>
  </si>
  <si>
    <t>Boden wbl</t>
  </si>
  <si>
    <t>Boden mnl</t>
  </si>
  <si>
    <t>Sprung mnl</t>
  </si>
  <si>
    <t>Barren mnl</t>
  </si>
  <si>
    <t>Reck mnl</t>
  </si>
  <si>
    <t>Sprung wbl</t>
  </si>
  <si>
    <t>Je 1 Kampfrichter Gymnastik ist zu stellen pro Teilnehmeranzahl:</t>
  </si>
  <si>
    <t>Summen Helfer:</t>
  </si>
  <si>
    <t>Bitte keine Zellen löschen oder verschieben !</t>
  </si>
  <si>
    <t>Nur kopieren !!!</t>
  </si>
  <si>
    <t>Auch keine Zeilen einfügen !</t>
  </si>
  <si>
    <t>Hier nur die Mannschafts-WK-Nummer eintragen !</t>
  </si>
  <si>
    <t>Wahl-4-Kampf; B-Jugend 14/15 Jahre</t>
  </si>
  <si>
    <t>Wahl-4-Kampf; A-Jugend 16/17 Jahre</t>
  </si>
  <si>
    <t>Wahl-4-Kampf; Männer ab 18 Jahre</t>
  </si>
  <si>
    <t>Wahl-4-Kampf; Frauen ab 18 Jahre</t>
  </si>
  <si>
    <t>Mehrkampf; B-Jugend 14/15 Jahre</t>
  </si>
  <si>
    <t>Mehrkampf; A-Jugend 16/17 Jahre</t>
  </si>
  <si>
    <t>Mehrkampf; Junioren 18/19 Jahre</t>
  </si>
  <si>
    <t>Mehrkampf; Juniorinnen 18/19 Jahre</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</si>
  <si>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</si>
  <si>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</si>
  <si>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</si>
  <si>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</si>
  <si>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</si>
  <si>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</si>
  <si>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</si>
  <si>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</si>
  <si>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</si>
  <si>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</si>
  <si>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</si>
  <si>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</si>
  <si>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</si>
  <si>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</si>
  <si>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</si>
  <si>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</si>
  <si>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</si>
  <si>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</si>
  <si>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</si>
  <si>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</si>
  <si>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</si>
  <si>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</si>
  <si>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</si>
  <si>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</si>
  <si>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</si>
  <si>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</si>
  <si>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</si>
  <si>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</si>
  <si>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</si>
  <si>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</si>
  <si>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</si>
  <si>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</si>
  <si>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</si>
  <si>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</si>
  <si>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</si>
  <si>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</si>
  <si>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</si>
  <si>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Lfd. Nr.</t>
  </si>
  <si>
    <t>38</t>
  </si>
  <si>
    <t>39</t>
  </si>
  <si>
    <t>40</t>
  </si>
  <si>
    <t>Kari-Gebühr für nicht gemeldete / gekommene Karis bzw. Helfer</t>
  </si>
  <si>
    <t>Fachgebiete alle</t>
  </si>
  <si>
    <t>Fachgebiete TGNT</t>
  </si>
  <si>
    <t>1x mit Einzel-WK-Nr. UND</t>
  </si>
  <si>
    <t>Darauf achten, dass Vorname, Nachname und Geburtsdatum</t>
  </si>
  <si>
    <t>jeweils gleich geschrieben sind, sonst macht der Meldebogen</t>
  </si>
  <si>
    <t>eine neue Meldung draus (mit neuem Meldegeld)</t>
  </si>
  <si>
    <t xml:space="preserve">Turner, die in Einzel UND Mannschaft turnen, </t>
  </si>
  <si>
    <t>1x mit Mannschafts-WK-Nr.</t>
  </si>
  <si>
    <t>HINWEISE BEACHTEN    ---&gt;</t>
  </si>
  <si>
    <t>auch angeben, in welcher Mannschaft</t>
  </si>
  <si>
    <t>ein von euch gewähler Mannschaftname zugeordnet</t>
  </si>
  <si>
    <t>Sonst Datensalat !!!</t>
  </si>
  <si>
    <t>Melde-geld ?</t>
  </si>
  <si>
    <t>Fehlermeldungen</t>
  </si>
  <si>
    <t>SPV Nürtingen</t>
  </si>
  <si>
    <t/>
  </si>
  <si>
    <t>SV Ostfildern</t>
  </si>
  <si>
    <t>_Helfer ohne Lizenz</t>
  </si>
  <si>
    <t>07153 / 766 37</t>
  </si>
  <si>
    <t>Je 1 Kari UND 1 Helfer ist zu stellen pro Teilnehmeranzahl</t>
  </si>
  <si>
    <t>Speed</t>
  </si>
  <si>
    <t>Easy Jump</t>
  </si>
  <si>
    <t>gemeldet werden (wegen Weiterqualifikation Gaufinale),</t>
  </si>
  <si>
    <t>es müssen aber spätestens mit Beginn des Einturnens am</t>
  </si>
  <si>
    <t>Ansonsten werden die ersten 5 Namen der Liste genommen</t>
  </si>
  <si>
    <t>Martin Billerbeck / Volker Schaber</t>
  </si>
  <si>
    <t>Fritz-Walter-Weg 19</t>
  </si>
  <si>
    <t>info@stb.de</t>
  </si>
  <si>
    <t>0711/28077-200</t>
  </si>
  <si>
    <t>wenn Teilnehmer im Mannschaftswettkampf gemeldet ist</t>
  </si>
  <si>
    <t>Sollte das genaue Geb.-Datum nicht bekannt sein, so reicht auch bspw. 01.01.1995</t>
  </si>
  <si>
    <t>Hinter die WK-Nr. der Mannschaft wird dann die Mannschafts-Nr.</t>
  </si>
  <si>
    <t>eingetragen, hinter die WK-Nr. des Einzel-WK kommt nichts</t>
  </si>
  <si>
    <t>ausfüllen, wenn der Teilnehmer für einen Wahlwettkampf gemeldet ist</t>
  </si>
  <si>
    <r>
      <t>Die Spalten G bis J "</t>
    </r>
    <r>
      <rPr>
        <b/>
        <sz val="10"/>
        <rFont val="Arial"/>
        <family val="2"/>
      </rPr>
      <t>Disziplinen für den Wahlwettkampf</t>
    </r>
    <r>
      <rPr>
        <sz val="10"/>
        <rFont val="Arial"/>
      </rPr>
      <t>" nur beim Mehrkampftag</t>
    </r>
  </si>
  <si>
    <r>
      <t>Die Spalte F "</t>
    </r>
    <r>
      <rPr>
        <b/>
        <sz val="10"/>
        <rFont val="Arial"/>
        <family val="2"/>
      </rPr>
      <t>Mannschaft</t>
    </r>
    <r>
      <rPr>
        <sz val="10"/>
        <rFont val="Arial"/>
        <family val="2"/>
      </rPr>
      <t>" ausfüllen,</t>
    </r>
  </si>
  <si>
    <t>sowie an das Berechnungswesen:</t>
  </si>
  <si>
    <t>TSV Oberensingen</t>
  </si>
  <si>
    <t>TG Lenningen</t>
  </si>
  <si>
    <t>Mannschafts-WK ?</t>
  </si>
  <si>
    <t>J</t>
  </si>
  <si>
    <t>Helfer ?</t>
  </si>
  <si>
    <t>Kari ?</t>
  </si>
  <si>
    <t>Helfer erf. ?</t>
  </si>
  <si>
    <t>Kari erf. ?</t>
  </si>
  <si>
    <t>Teiln.-Anzahl für Karis</t>
  </si>
  <si>
    <t>Teiln.-Anzahl für Helfer</t>
  </si>
  <si>
    <t>Fahnenband (gibt es nicht mehr aus Kostengründen)</t>
  </si>
  <si>
    <t>Anzahl Mannsch.</t>
  </si>
  <si>
    <t>Es können aber bis zu 10 Teilnehmer pro Mannschaft</t>
  </si>
  <si>
    <t>Wettkampftag die 5 Turner/innen bestimmt werden, welche turnen.</t>
  </si>
  <si>
    <t>pro Wettkampftag und Mannschaft gemeldet werden, die auch an</t>
  </si>
  <si>
    <t>dem Tag turnen dürfen, weitere Ersatzturner/innen für die</t>
  </si>
  <si>
    <t>Weiterqualifikation dürfen mitgemeldet werden.</t>
  </si>
  <si>
    <t>Excel-Anmeldebogen</t>
  </si>
  <si>
    <t>Christa Kröll / Martin Billerbeck</t>
  </si>
  <si>
    <t>STB-KinderCup Gerätturnen  6/7 Jahre Einzel</t>
  </si>
  <si>
    <t>TalentCup I; 6 Jahre Mädchen und Jungen</t>
  </si>
  <si>
    <t>TalentCup I; 7 Jahre Mädchen und Jungen</t>
  </si>
  <si>
    <t>TalentCup I; 8 Jahre Mädchen und Jungen</t>
  </si>
  <si>
    <t>TalentCup I; 9 Jahre Mädchen und Jungen</t>
  </si>
  <si>
    <t>TalentCup I; 10 Jahre Mädchen und Jungen</t>
  </si>
  <si>
    <t>TalentCup II; 8 Jahre Mädchen</t>
  </si>
  <si>
    <t>TalentCup II; 9 Jahre Jungen</t>
  </si>
  <si>
    <t>"Legende" 'WK-Vorlagen Zeilennummer:</t>
  </si>
  <si>
    <t>Teiln.-Anzahl nur Mannschaft und kein Einzel:</t>
  </si>
  <si>
    <t>Je 1 Kari bzw. Helfer ist zu stellen pro Teilnehmeranzahl</t>
  </si>
  <si>
    <t>Daten</t>
  </si>
  <si>
    <t>Suchen doppelt</t>
  </si>
  <si>
    <t>0=   Neu</t>
  </si>
  <si>
    <t>Fehlermeldungen:</t>
  </si>
  <si>
    <t>Das Feld kann aber auch leer bleiben !</t>
  </si>
  <si>
    <t>Also lasst euch da phantasievolle Namen einfallen</t>
  </si>
  <si>
    <t>Denn "TSV I" o.ä. erscheint sowieso auf der Urkunde</t>
  </si>
  <si>
    <t>Dort hinter die Mannschafts-WK-Nr.</t>
  </si>
  <si>
    <t xml:space="preserve">Denn der Name erscheint zusätzlich </t>
  </si>
  <si>
    <t>zum Vereinsname auf der Urkunde !</t>
  </si>
  <si>
    <t>STB-KinderCup Gerätturnen  6/7 Jahre Mannschaft</t>
  </si>
  <si>
    <t>STB-KinderCup Gerätturnen; 6 Jahre Mädchen und Jungen</t>
  </si>
  <si>
    <t>STB-KinderCup Gerätturnen; 7 Jahre Mädchen und Jungen</t>
  </si>
  <si>
    <t>STB-KinderCup Gerätturnen; 8 Jahre Mädchen und Jungen</t>
  </si>
  <si>
    <t>STB-KinderCup Gerätturnen; 9 Jahre Mädchen und Jungen</t>
  </si>
  <si>
    <t>STB-KinderCup Gerätturnen; 10 Jahre Mädchen und Jungen</t>
  </si>
  <si>
    <t>Im TG nicht mögliche Disziplinen:</t>
  </si>
  <si>
    <t>aber max.</t>
  </si>
  <si>
    <t>sie sind (Nr. 1 bis x; Spalte F=Mannschafts-Nr.))</t>
  </si>
  <si>
    <t>Wenn ihr die WK-Nr.zuerst hier eintragt bevor ihr</t>
  </si>
  <si>
    <t>ihn im Tabellenblatt "Teilnehmer" eingegeben habt,</t>
  </si>
  <si>
    <t>erhaltet ihr hier die Fehlermeldung "#NV"</t>
  </si>
  <si>
    <t>STB-KinderCup (Basis-WK) 6/7 Jahre Einzel</t>
  </si>
  <si>
    <t>STB-KinderCup (Basis-WK) 6/7 Jahre Mannschaft</t>
  </si>
  <si>
    <t>Gerätturnen Einzel</t>
  </si>
  <si>
    <t>Gerätturnen Mannschaft</t>
  </si>
  <si>
    <t>Ziegelei 4 / Sonnenhalde 11</t>
  </si>
  <si>
    <t>73765 / 73730</t>
  </si>
  <si>
    <t>Neuhausen / Esslingen</t>
  </si>
  <si>
    <t>cmc_kroell@web.de / turner-billy@t-online.de</t>
  </si>
  <si>
    <t>07158 / 98 58 28 bzw. 0711 / 36 78 21</t>
  </si>
  <si>
    <t>Ralf Ropella</t>
  </si>
  <si>
    <t>07121 / 73 93 46</t>
  </si>
  <si>
    <t>Kür-6-Kampf LK1; Männer offene Klasse ab C-Jugend Einzel</t>
  </si>
  <si>
    <t>Kür-4-Kampf LK1; Frauen offene Klasse ab C-Jugend Einzel</t>
  </si>
  <si>
    <t>Kür-6-Kampf LK2; Männer offene Klasse ab C-Jugend Einzel</t>
  </si>
  <si>
    <t>Kür-4-Kampf LK2; Frauen offene Klasse ab C-Jugend Einzel</t>
  </si>
  <si>
    <t>Pflicht-6-Kampf P5-P9; Männer offene Kasse ab C-Jugend Mannschaft</t>
  </si>
  <si>
    <t>Pflicht-4-Kampf P5-P9; Frauen offene Kasse ab C-Jugend Mannschaft</t>
  </si>
  <si>
    <t>STB-KinderCup Gerätturnen (nur 6 Stationen); 5 Jahre Mädchen und Jungen</t>
  </si>
  <si>
    <t>Bei allen Wettkämpfen ist die WK-Nummer</t>
  </si>
  <si>
    <t>Wenn keine Mannschaft, dann einfach leer lassen !</t>
  </si>
  <si>
    <t>Das sind die WK von:</t>
  </si>
  <si>
    <t>(Hallenturnfest)</t>
  </si>
  <si>
    <t>3-5 Teilnehmer beim Gaufinale und Hallenturnfest</t>
  </si>
  <si>
    <t>Ausnahme Gaufinale LK1/2, siehe unten</t>
  </si>
  <si>
    <t>Bei den Mannschaften der Kür (LK1/2) können bis zu 8 Teilnehmer</t>
  </si>
  <si>
    <t>Am Wettkampftag selbst turnen 5 je Gerät, die 3 Besten kommen</t>
  </si>
  <si>
    <t>in die Wertung.</t>
  </si>
  <si>
    <t>Diese Felder werden automatisch berechnet, wenn die grünen Felder ausgefüllt wurden</t>
  </si>
  <si>
    <t>Füllen Sie auf den Seiten "Deckblatt", "Teilnehmer", "Mannschaften" und "Kampfrichter" nacheinander jeweils die grün hinterlegten Felder aus und speichern Sie die Datei unter dem auf dem Deckblatt unten angegebenen Namen.</t>
  </si>
  <si>
    <t>Senden Sie die vollständig ausgefüllte Datei per eMail an die auf dem Deckblatt angegebene E-Mail-Adresse oder auf entsprechendem Datenträger an die angegebene Post-Anschrift</t>
  </si>
  <si>
    <t>Anzahl "Aktive" (20 Jahre und älter) für Meldegeld</t>
  </si>
  <si>
    <t>Nur Mannschaft ?</t>
  </si>
  <si>
    <t>erforderliche Anzahl Kampfrichter Dance</t>
  </si>
  <si>
    <t>Je 1 Kampfrichter Dance ist zu stellen pro Teilnehmeranzahl:</t>
  </si>
  <si>
    <t>TalentCup II; 7/8 Jahre Jungen</t>
  </si>
  <si>
    <t>TalentCup II; 6/7 Jahre Mädchen</t>
  </si>
  <si>
    <t>Summe Kampfrichter Dance mit Lizenz:</t>
  </si>
  <si>
    <t>Summen Dance:</t>
  </si>
  <si>
    <t>Gaufinale und Hallenturnfest</t>
  </si>
  <si>
    <t>Sonnenhalde 11</t>
  </si>
  <si>
    <t>Ute Billerbeck</t>
  </si>
  <si>
    <t>Esslingen</t>
  </si>
  <si>
    <t>u.billerbeck@tgnt.de</t>
  </si>
  <si>
    <t>0711 / 36 78 21</t>
  </si>
  <si>
    <t>TGNT-2018-Gaufinale</t>
  </si>
  <si>
    <t>Gaufinale 2018 Einzel</t>
  </si>
  <si>
    <t>Gaufinale 2018</t>
  </si>
  <si>
    <t>Gaufinale 2018 Mannschaft</t>
  </si>
  <si>
    <t>TGNT-2018-Hallenturnfest</t>
  </si>
  <si>
    <t>Hallenturnfest 2018</t>
  </si>
  <si>
    <t>TGNT-2018-Mehrkampftag</t>
  </si>
  <si>
    <t>Mehrkampftag 2018</t>
  </si>
  <si>
    <t>TGNT-2018-Tag-des-Talents</t>
  </si>
  <si>
    <t>Tag des Talents 2018</t>
  </si>
  <si>
    <t>N.N.</t>
  </si>
  <si>
    <t>turnschule@turnen-wernau.de</t>
  </si>
  <si>
    <t>Pflicht-4-Kampf P1-P3; Mädchen 7 Jahre Einzel</t>
  </si>
  <si>
    <t>Pflicht-4-Kampf P1-P3; Jungen 7 Jahre Einzel</t>
  </si>
  <si>
    <t>Pflicht-4-Kampf P5-P9; Frauen ab B-Jugend Einzel</t>
  </si>
  <si>
    <t>Kür-4-Kampf Landesliga; Frauen alle Altersklassen ab 10 Jahre Einzel</t>
  </si>
  <si>
    <t>Pflicht-6-Kampf P5-P9; Männer ab B-Jugend Einzel</t>
  </si>
  <si>
    <t>Pflicht-4-Kampf P1-P3; Jungen 7 Jahre Mannschaft</t>
  </si>
  <si>
    <t>Pflicht-4-Kampf P1-P3; Mädchen 7 Jahre Mannschaft</t>
  </si>
  <si>
    <t>Kür-4-Kampf LK1; Frauen offene Klasse ab C-Jugend Mannschaft</t>
  </si>
  <si>
    <t>Kür-4-Kampf LK2; Frauen offene Klasse ab C-Jugend Mannschaft</t>
  </si>
  <si>
    <t>Kür-6-Kampf LK1; Männer offene Klasse ab C-Jugend Mannschaft</t>
  </si>
  <si>
    <t>Kür-6-Kampf LK2; Männer offene Klasse ab C-Jugend Mannschaft</t>
  </si>
  <si>
    <t>Je 1 Kari ist zu stellen pro Mannschaft</t>
  </si>
  <si>
    <t>Wahl-4-Kampf; Jungen 7 Jahre</t>
  </si>
  <si>
    <t>Wahl-4-Kampf; Mädchen 7 Jahre</t>
  </si>
  <si>
    <t>Schülermehrkampf; Jungen 7 Jahre</t>
  </si>
  <si>
    <t>Schülerinnenmehrkampf; Mädchen 7 Jahre</t>
  </si>
  <si>
    <t>41</t>
  </si>
  <si>
    <t>Tag des Talents 1 2018 Berkheim</t>
  </si>
  <si>
    <t>Tag des Talents 2 2018 Wernau</t>
  </si>
  <si>
    <t>Stand 01.01.2018</t>
  </si>
  <si>
    <t>x</t>
  </si>
  <si>
    <t>Summe Kampfrichter Turnen und andere Fachgebiete mit Lizenz:</t>
  </si>
  <si>
    <t>Summen Turnen und andere Fachgebiete:</t>
  </si>
  <si>
    <t>Je 1 Kampfrichter Turnen und andere Fachgebiete ist zu stellen pro Teilnehmeranzahl: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</si>
</sst>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2" formatCode="#,##0.00\ &quot;DM&quot;"/>
    <numFmt numFmtId="173" formatCode="d/\ mmmm\ yyyy"/>
    <numFmt numFmtId="175" formatCode="#,##0.00\ &quot;€&quot;"/>
    <numFmt numFmtId="176" formatCode="#,##0.00\ [$€-1]"/>
    <numFmt numFmtId="181" formatCode="#,##0\ _D_M"/>
    <numFmt numFmtId="185" formatCode="#,##0.0\ [$€-1]"/>
    <numFmt numFmtId="186" formatCode="#,##0\ [$€-1]"/>
  </numFmts>
  <fonts count="35">
    <font>
      <sz val="10"/>
      <name val="Arial"/>
    </font>
    <font>
      <sz val="10"/>
      <name val="Arial"/>
    </font>
    <font>
      <u/>
      <sz val="10"/>
      <color indexed="12"/>
      <name val="Arial"/>
    </font>
    <font>
      <sz val="8"/>
      <name val="Arial"/>
    </font>
    <font>
      <sz val="14"/>
      <name val="Arial"/>
    </font>
    <font>
      <sz val="8"/>
      <name val="Arial"/>
      <family val="2"/>
    </font>
    <font>
      <u/>
      <sz val="8"/>
      <name val="Arial"/>
    </font>
    <font>
      <b/>
      <sz val="14"/>
      <name val="Arial"/>
      <family val="2"/>
    </font>
    <font>
      <sz val="10"/>
      <name val="Arial"/>
      <family val="2"/>
    </font>
    <font>
      <b/>
      <sz val="10"/>
      <name val="Arial"/>
      <family val="2"/>
    </font>
    <font>
      <b/>
      <sz val="10"/>
      <color indexed="10"/>
      <name val="Arial"/>
      <family val="2"/>
    </font>
    <font>
      <sz val="8"/>
      <color indexed="9"/>
      <name val="Arial"/>
    </font>
    <font>
      <sz val="9"/>
      <name val="Arial"/>
    </font>
    <font>
      <b/>
      <sz val="10"/>
      <name val="Arial"/>
    </font>
    <font>
      <sz val="6"/>
      <name val="Arial"/>
      <family val="2"/>
    </font>
    <font>
      <b/>
      <sz val="8"/>
      <name val="Arial"/>
      <family val="2"/>
    </font>
    <font>
      <sz val="12"/>
      <name val="Arial"/>
    </font>
    <font>
      <b/>
      <sz val="12"/>
      <name val="Arial"/>
      <family val="2"/>
    </font>
    <font>
      <sz val="10"/>
      <color indexed="8"/>
      <name val="Swis721 Lt BT"/>
      <family val="2"/>
    </font>
    <font>
      <sz val="14"/>
      <name val="Arial"/>
      <family val="2"/>
    </font>
    <font>
      <sz val="10"/>
      <color indexed="22"/>
      <name val="Arial"/>
    </font>
    <font>
      <sz val="9"/>
      <name val="Arial"/>
      <family val="2"/>
    </font>
    <font>
      <sz val="9"/>
      <color indexed="22"/>
      <name val="Arial"/>
    </font>
    <font>
      <b/>
      <sz val="10"/>
      <color indexed="22"/>
      <name val="Arial"/>
    </font>
    <font>
      <sz val="8"/>
      <color indexed="12"/>
      <name val="Arial"/>
      <family val="2"/>
    </font>
    <font>
      <b/>
      <sz val="8"/>
      <color indexed="10"/>
      <name val="Arial"/>
      <family val="2"/>
    </font>
    <font>
      <sz val="8"/>
      <color indexed="10"/>
      <name val="Arial"/>
      <family val="2"/>
    </font>
    <font>
      <b/>
      <sz val="10"/>
      <color indexed="12"/>
      <name val="Arial"/>
      <family val="2"/>
    </font>
    <font>
      <b/>
      <sz val="12"/>
      <color indexed="10"/>
      <name val="Arial"/>
      <family val="2"/>
    </font>
    <font>
      <sz val="12"/>
      <color indexed="61"/>
      <name val="Arial"/>
      <family val="2"/>
    </font>
    <font>
      <b/>
      <sz val="12"/>
      <color indexed="61"/>
      <name val="Arial"/>
      <family val="2"/>
    </font>
    <font>
      <b/>
      <sz val="20"/>
      <color indexed="10"/>
      <name val="Arial"/>
      <family val="2"/>
    </font>
    <font>
      <sz val="7"/>
      <name val="Arial"/>
      <family val="2"/>
    </font>
    <font>
      <sz val="12"/>
      <color indexed="12"/>
      <name val="Arial"/>
      <family val="2"/>
    </font>
    <font>
      <sz val="12"/>
      <color indexed="12"/>
      <name val="Arial"/>
    </font>
  </fonts>
  <fills count="7">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14"/>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double">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329">
    <xf numFmtId="0" fontId="0" fillId="0" borderId="0" xfId="0"/>
    <xf numFmtId="0" fontId="4" fillId="0" borderId="0" xfId="0" applyFont="1"/>
    <xf numFmtId="0" fontId="3" fillId="0" borderId="0" xfId="0" applyFont="1" applyAlignment="1">
      <alignment vertical="top" wrapText="1"/>
    </xf>
    <xf numFmtId="0" fontId="5" fillId="0" borderId="0" xfId="0" applyFont="1" applyAlignment="1">
      <alignment vertical="top"/>
    </xf>
    <xf numFmtId="0" fontId="5" fillId="0" borderId="0" xfId="0" applyFont="1" applyAlignment="1">
      <alignment wrapText="1"/>
    </xf>
    <xf numFmtId="0" fontId="5" fillId="0" borderId="0" xfId="0" applyFont="1"/>
    <xf numFmtId="0" fontId="5" fillId="0" borderId="0" xfId="0" quotePrefix="1" applyFont="1"/>
    <xf numFmtId="0" fontId="5" fillId="0" borderId="0" xfId="0" applyFont="1" applyAlignment="1">
      <alignment horizontal="right"/>
    </xf>
    <xf numFmtId="0" fontId="5" fillId="0" borderId="0" xfId="0" applyFont="1" applyAlignment="1">
      <alignment horizontal="left"/>
    </xf>
    <xf numFmtId="0" fontId="5" fillId="0" borderId="0" xfId="0" applyFont="1" applyAlignment="1">
      <alignment horizontal="left" wrapText="1"/>
    </xf>
    <xf numFmtId="0" fontId="3" fillId="0" borderId="0" xfId="0" applyFont="1" applyAlignment="1">
      <alignment wrapText="1"/>
    </xf>
    <xf numFmtId="0" fontId="6" fillId="0" borderId="0" xfId="0" applyFont="1" applyAlignment="1">
      <alignment horizontal="left"/>
    </xf>
    <xf numFmtId="0" fontId="3" fillId="0" borderId="0" xfId="0" applyFont="1"/>
    <xf numFmtId="0" fontId="3" fillId="2" borderId="2" xfId="0" applyFont="1" applyFill="1" applyBorder="1" applyAlignment="1">
      <alignment horizontal="center"/>
    </xf>
    <xf numFmtId="0" fontId="3" fillId="3" borderId="2" xfId="0" applyFont="1" applyFill="1" applyBorder="1" applyAlignment="1">
      <alignment horizontal="center"/>
    </xf>
    <xf numFmtId="0" fontId="7" fillId="0" borderId="0" xfId="0" applyFont="1"/>
    <xf numFmtId="0" fontId="0" fillId="0" borderId="0" xfId="0" applyAlignment="1">
      <alignment horizontal="right"/>
    </xf>
    <xf numFmtId="0" fontId="8" fillId="0" borderId="0" xfId="0" applyFont="1"/>
    <xf numFmtId="0" fontId="8" fillId="0" borderId="0" xfId="0" applyFont="1" applyAlignment="1">
      <alignment horizontal="right"/>
    </xf>
    <xf numFmtId="0" fontId="8" fillId="0" borderId="0" xfId="0" applyFont="1" applyAlignment="1">
      <alignment horizontal="left"/>
    </xf>
    <xf numFmtId="0" fontId="9" fillId="0" borderId="0" xfId="0" quotePrefix="1" applyFont="1" applyAlignment="1">
      <alignment horizontal="left"/>
    </xf>
    <xf numFmtId="0" fontId="1" fillId="0" borderId="0" xfId="1" applyNumberFormat="1" applyFont="1" applyAlignment="1" applyProtection="1">
      <alignment horizontal="left"/>
    </xf>
    <xf numFmtId="0" fontId="9" fillId="4" borderId="0" xfId="0" applyFont="1" applyFill="1"/>
    <xf numFmtId="0" fontId="0" fillId="4" borderId="0" xfId="0" applyFill="1" applyAlignment="1">
      <alignment horizontal="right"/>
    </xf>
    <xf numFmtId="0" fontId="10" fillId="4" borderId="0" xfId="0" applyFont="1" applyFill="1" applyAlignment="1">
      <alignment horizontal="center"/>
    </xf>
    <xf numFmtId="0" fontId="0" fillId="4" borderId="0" xfId="0" applyFill="1"/>
    <xf numFmtId="49" fontId="9" fillId="2" borderId="0" xfId="0" applyNumberFormat="1" applyFont="1" applyFill="1" applyAlignment="1" applyProtection="1">
      <alignment horizontal="center"/>
      <protection locked="0"/>
    </xf>
    <xf numFmtId="0" fontId="0" fillId="3" borderId="0" xfId="0" applyFill="1" applyAlignment="1" applyProtection="1">
      <alignment horizontal="center"/>
    </xf>
    <xf numFmtId="173" fontId="0" fillId="3" borderId="0" xfId="0" applyNumberFormat="1" applyFill="1" applyAlignment="1" applyProtection="1">
      <alignment horizontal="center"/>
    </xf>
    <xf numFmtId="14" fontId="11" fillId="4" borderId="0" xfId="0" applyNumberFormat="1" applyFont="1" applyFill="1" applyProtection="1">
      <protection hidden="1"/>
    </xf>
    <xf numFmtId="49" fontId="0" fillId="2" borderId="0" xfId="0" applyNumberFormat="1" applyFill="1" applyAlignment="1" applyProtection="1">
      <alignment horizontal="center"/>
      <protection locked="0"/>
    </xf>
    <xf numFmtId="0" fontId="0" fillId="0" borderId="0" xfId="0" applyFill="1"/>
    <xf numFmtId="0" fontId="0" fillId="0" borderId="0" xfId="0" applyFill="1" applyAlignment="1">
      <alignment horizontal="right"/>
    </xf>
    <xf numFmtId="0" fontId="0" fillId="0" borderId="0" xfId="0" applyProtection="1"/>
    <xf numFmtId="0" fontId="10" fillId="4" borderId="0" xfId="0" applyFont="1" applyFill="1" applyAlignment="1" applyProtection="1">
      <alignment horizontal="center"/>
    </xf>
    <xf numFmtId="0" fontId="0" fillId="4" borderId="0" xfId="0" applyFill="1" applyProtection="1"/>
    <xf numFmtId="0" fontId="12" fillId="4" borderId="0" xfId="0" applyFont="1" applyFill="1" applyAlignment="1">
      <alignment horizontal="left"/>
    </xf>
    <xf numFmtId="0" fontId="0" fillId="2" borderId="3" xfId="0" applyFill="1" applyBorder="1" applyProtection="1">
      <protection locked="0"/>
    </xf>
    <xf numFmtId="0" fontId="0" fillId="2" borderId="4" xfId="0" applyFill="1" applyBorder="1" applyProtection="1">
      <protection locked="0"/>
    </xf>
    <xf numFmtId="0" fontId="12" fillId="4" borderId="0" xfId="0" applyFont="1" applyFill="1"/>
    <xf numFmtId="0" fontId="12" fillId="0" borderId="0" xfId="0" applyFont="1"/>
    <xf numFmtId="173" fontId="0" fillId="2" borderId="1" xfId="0" applyNumberFormat="1" applyFill="1" applyBorder="1" applyAlignment="1" applyProtection="1">
      <alignment horizontal="center"/>
      <protection locked="0"/>
    </xf>
    <xf numFmtId="0" fontId="10" fillId="4" borderId="0" xfId="0" applyFont="1" applyFill="1"/>
    <xf numFmtId="0" fontId="10" fillId="0" borderId="0" xfId="0" applyFont="1" applyFill="1"/>
    <xf numFmtId="0" fontId="0" fillId="4" borderId="0" xfId="0" applyFill="1" applyAlignment="1">
      <alignment horizontal="right" vertical="center"/>
    </xf>
    <xf numFmtId="0" fontId="0" fillId="0" borderId="1" xfId="0" applyFill="1" applyBorder="1"/>
    <xf numFmtId="0" fontId="3" fillId="4" borderId="0" xfId="0" applyFont="1" applyFill="1" applyAlignment="1">
      <alignment horizontal="left"/>
    </xf>
    <xf numFmtId="0" fontId="13" fillId="2" borderId="2" xfId="0" applyFont="1" applyFill="1" applyBorder="1" applyAlignment="1" applyProtection="1">
      <alignment horizontal="center"/>
      <protection locked="0"/>
    </xf>
    <xf numFmtId="0" fontId="9" fillId="2" borderId="2" xfId="0" applyFont="1" applyFill="1" applyBorder="1" applyAlignment="1" applyProtection="1">
      <alignment horizontal="center"/>
      <protection locked="0"/>
    </xf>
    <xf numFmtId="0" fontId="9" fillId="2" borderId="3" xfId="0" applyNumberFormat="1" applyFont="1" applyFill="1" applyBorder="1" applyAlignment="1" applyProtection="1">
      <alignment horizontal="center"/>
      <protection locked="0"/>
    </xf>
    <xf numFmtId="0" fontId="9" fillId="2" borderId="4" xfId="0" applyNumberFormat="1" applyFont="1" applyFill="1" applyBorder="1" applyAlignment="1" applyProtection="1">
      <alignment horizontal="center"/>
      <protection locked="0"/>
    </xf>
    <xf numFmtId="0" fontId="0" fillId="0" borderId="0" xfId="0" applyFill="1" applyAlignment="1"/>
    <xf numFmtId="0" fontId="9" fillId="0" borderId="0" xfId="0" applyFont="1" applyFill="1" applyAlignment="1"/>
    <xf numFmtId="0" fontId="14" fillId="0" borderId="0" xfId="0" quotePrefix="1" applyFont="1"/>
    <xf numFmtId="0" fontId="15" fillId="4" borderId="5" xfId="0" applyFont="1" applyFill="1" applyBorder="1" applyAlignment="1" applyProtection="1">
      <alignment horizontal="left" vertical="top"/>
    </xf>
    <xf numFmtId="0" fontId="15" fillId="4" borderId="6" xfId="0" applyFont="1" applyFill="1" applyBorder="1" applyAlignment="1" applyProtection="1">
      <alignment horizontal="left" vertical="top"/>
    </xf>
    <xf numFmtId="0" fontId="5" fillId="4" borderId="7"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5" fillId="4" borderId="9" xfId="0" applyFont="1" applyFill="1" applyBorder="1" applyAlignment="1" applyProtection="1">
      <alignment horizontal="center" vertical="center" wrapText="1"/>
    </xf>
    <xf numFmtId="0" fontId="5" fillId="4" borderId="10" xfId="0" applyFont="1" applyFill="1" applyBorder="1" applyAlignment="1" applyProtection="1">
      <alignment horizontal="center" wrapText="1"/>
    </xf>
    <xf numFmtId="0" fontId="16" fillId="2" borderId="9" xfId="0" applyFont="1" applyFill="1" applyBorder="1" applyAlignment="1" applyProtection="1">
      <alignment horizontal="center"/>
      <protection locked="0"/>
    </xf>
    <xf numFmtId="0" fontId="16" fillId="2" borderId="9" xfId="0" applyFont="1" applyFill="1" applyBorder="1" applyProtection="1">
      <protection locked="0"/>
    </xf>
    <xf numFmtId="0" fontId="16" fillId="2" borderId="11" xfId="0" applyFont="1" applyFill="1" applyBorder="1" applyAlignment="1" applyProtection="1">
      <alignment horizontal="center"/>
      <protection locked="0"/>
    </xf>
    <xf numFmtId="0" fontId="16" fillId="2" borderId="11" xfId="0" applyFont="1" applyFill="1" applyBorder="1" applyProtection="1">
      <protection locked="0"/>
    </xf>
    <xf numFmtId="0" fontId="16" fillId="2" borderId="12" xfId="0" applyFont="1" applyFill="1" applyBorder="1" applyAlignment="1" applyProtection="1">
      <alignment horizontal="center"/>
      <protection locked="0"/>
    </xf>
    <xf numFmtId="0" fontId="16" fillId="2" borderId="12" xfId="0" applyFont="1" applyFill="1" applyBorder="1" applyProtection="1">
      <protection locked="0"/>
    </xf>
    <xf numFmtId="0" fontId="0" fillId="0" borderId="0" xfId="0" applyAlignment="1">
      <alignment horizontal="center"/>
    </xf>
    <xf numFmtId="0" fontId="9" fillId="4" borderId="13" xfId="0" applyFont="1" applyFill="1" applyBorder="1" applyAlignment="1" applyProtection="1">
      <alignment horizontal="left" vertical="top"/>
    </xf>
    <xf numFmtId="0" fontId="15" fillId="4" borderId="5" xfId="0" applyFont="1" applyFill="1" applyBorder="1" applyAlignment="1" applyProtection="1">
      <alignment vertical="top"/>
    </xf>
    <xf numFmtId="14" fontId="15" fillId="4" borderId="5" xfId="0" applyNumberFormat="1" applyFont="1" applyFill="1" applyBorder="1" applyAlignment="1" applyProtection="1">
      <alignment horizontal="center" vertical="top"/>
    </xf>
    <xf numFmtId="0" fontId="15" fillId="4" borderId="5" xfId="0" applyFont="1" applyFill="1" applyBorder="1" applyAlignment="1" applyProtection="1">
      <alignment horizontal="center" vertical="top"/>
    </xf>
    <xf numFmtId="0" fontId="15" fillId="4" borderId="13" xfId="0" applyFont="1" applyFill="1" applyBorder="1" applyAlignment="1" applyProtection="1">
      <alignment wrapText="1"/>
    </xf>
    <xf numFmtId="0" fontId="5" fillId="4" borderId="5" xfId="0" applyFont="1" applyFill="1" applyBorder="1" applyAlignment="1" applyProtection="1">
      <alignment wrapText="1"/>
    </xf>
    <xf numFmtId="14" fontId="5" fillId="4" borderId="5" xfId="0" applyNumberFormat="1" applyFont="1" applyFill="1" applyBorder="1" applyAlignment="1" applyProtection="1">
      <alignment horizontal="center" wrapText="1"/>
    </xf>
    <xf numFmtId="14" fontId="5" fillId="4" borderId="14" xfId="0" applyNumberFormat="1" applyFont="1" applyFill="1" applyBorder="1" applyAlignment="1" applyProtection="1">
      <alignment horizontal="center" wrapText="1"/>
    </xf>
    <xf numFmtId="0" fontId="15" fillId="4" borderId="2" xfId="0" applyFont="1" applyFill="1" applyBorder="1" applyAlignment="1" applyProtection="1">
      <alignment horizontal="center"/>
    </xf>
    <xf numFmtId="0" fontId="15" fillId="4" borderId="13" xfId="0" applyFont="1" applyFill="1" applyBorder="1" applyAlignment="1" applyProtection="1">
      <alignment horizontal="left"/>
    </xf>
    <xf numFmtId="0" fontId="5" fillId="4" borderId="5" xfId="0" applyFont="1" applyFill="1" applyBorder="1" applyAlignment="1" applyProtection="1">
      <alignment horizontal="center" wrapText="1"/>
    </xf>
    <xf numFmtId="0" fontId="5" fillId="4" borderId="14" xfId="0" applyFont="1" applyFill="1" applyBorder="1" applyAlignment="1" applyProtection="1">
      <alignment horizontal="center" wrapText="1"/>
    </xf>
    <xf numFmtId="0" fontId="5" fillId="4" borderId="15" xfId="0" applyFont="1" applyFill="1" applyBorder="1" applyAlignment="1" applyProtection="1">
      <alignment horizontal="center" wrapText="1"/>
    </xf>
    <xf numFmtId="0" fontId="5" fillId="4" borderId="9" xfId="0" applyFont="1" applyFill="1" applyBorder="1" applyAlignment="1" applyProtection="1">
      <alignment horizontal="center" wrapText="1"/>
    </xf>
    <xf numFmtId="0" fontId="5" fillId="4" borderId="10" xfId="0" applyFont="1" applyFill="1" applyBorder="1" applyAlignment="1" applyProtection="1">
      <alignment wrapText="1"/>
    </xf>
    <xf numFmtId="14" fontId="5" fillId="4" borderId="10" xfId="0" applyNumberFormat="1" applyFont="1" applyFill="1" applyBorder="1" applyAlignment="1" applyProtection="1">
      <alignment horizontal="center" wrapText="1"/>
    </xf>
    <xf numFmtId="1" fontId="16" fillId="2" borderId="9" xfId="0" applyNumberFormat="1" applyFont="1" applyFill="1" applyBorder="1" applyAlignment="1" applyProtection="1">
      <alignment horizontal="center"/>
      <protection locked="0"/>
    </xf>
    <xf numFmtId="14" fontId="16" fillId="2" borderId="11" xfId="0" applyNumberFormat="1" applyFont="1" applyFill="1" applyBorder="1" applyAlignment="1" applyProtection="1">
      <alignment horizontal="center"/>
      <protection locked="0"/>
    </xf>
    <xf numFmtId="1" fontId="16" fillId="2" borderId="11" xfId="0" applyNumberFormat="1" applyFont="1" applyFill="1" applyBorder="1" applyAlignment="1" applyProtection="1">
      <alignment horizontal="center"/>
      <protection locked="0"/>
    </xf>
    <xf numFmtId="0" fontId="0" fillId="4" borderId="5" xfId="0" applyFill="1" applyBorder="1"/>
    <xf numFmtId="0" fontId="0" fillId="4" borderId="5" xfId="0" applyFill="1" applyBorder="1" applyAlignment="1">
      <alignment horizontal="center"/>
    </xf>
    <xf numFmtId="0" fontId="16" fillId="2" borderId="16" xfId="0" applyFont="1" applyFill="1" applyBorder="1" applyProtection="1">
      <protection locked="0"/>
    </xf>
    <xf numFmtId="0" fontId="16" fillId="2" borderId="16" xfId="0" applyFont="1" applyFill="1" applyBorder="1" applyAlignment="1" applyProtection="1">
      <alignment horizontal="center"/>
      <protection locked="0"/>
    </xf>
    <xf numFmtId="0" fontId="18" fillId="0" borderId="0" xfId="0" applyFont="1" applyFill="1" applyAlignment="1">
      <alignment horizontal="left" wrapText="1"/>
    </xf>
    <xf numFmtId="0" fontId="19" fillId="0" borderId="0" xfId="0" applyFont="1" applyAlignment="1">
      <alignment horizontal="left"/>
    </xf>
    <xf numFmtId="172" fontId="20" fillId="0" borderId="0" xfId="0" applyNumberFormat="1" applyFont="1" applyAlignment="1">
      <alignment horizontal="center"/>
    </xf>
    <xf numFmtId="0" fontId="8" fillId="0" borderId="0" xfId="0" applyFont="1" applyAlignment="1">
      <alignment horizontal="center"/>
    </xf>
    <xf numFmtId="0" fontId="21" fillId="0" borderId="0" xfId="0" applyFont="1" applyAlignment="1">
      <alignment horizontal="left"/>
    </xf>
    <xf numFmtId="0" fontId="21" fillId="0" borderId="0" xfId="0" applyFont="1"/>
    <xf numFmtId="0" fontId="21" fillId="0" borderId="0" xfId="0" applyFont="1" applyAlignment="1">
      <alignment horizontal="center"/>
    </xf>
    <xf numFmtId="172" fontId="22" fillId="0" borderId="0" xfId="0" applyNumberFormat="1" applyFont="1" applyAlignment="1">
      <alignment horizontal="center"/>
    </xf>
    <xf numFmtId="172" fontId="20" fillId="4" borderId="5" xfId="0" applyNumberFormat="1" applyFont="1" applyFill="1" applyBorder="1" applyAlignment="1">
      <alignment horizontal="center"/>
    </xf>
    <xf numFmtId="0" fontId="0" fillId="5" borderId="0" xfId="0" applyFill="1" applyAlignment="1">
      <alignment horizontal="center"/>
    </xf>
    <xf numFmtId="0" fontId="0" fillId="3" borderId="0" xfId="0" applyFill="1" applyAlignment="1">
      <alignment horizontal="center"/>
    </xf>
    <xf numFmtId="172" fontId="20" fillId="5" borderId="0" xfId="0" applyNumberFormat="1" applyFont="1" applyFill="1" applyAlignment="1">
      <alignment horizontal="center"/>
    </xf>
    <xf numFmtId="0" fontId="20" fillId="3" borderId="0" xfId="0" applyFont="1" applyFill="1" applyAlignment="1" applyProtection="1">
      <alignment horizontal="center"/>
      <protection hidden="1"/>
    </xf>
    <xf numFmtId="0" fontId="20" fillId="5" borderId="0" xfId="0" applyFont="1" applyFill="1" applyAlignment="1">
      <alignment horizontal="center"/>
    </xf>
    <xf numFmtId="0" fontId="9" fillId="4" borderId="5" xfId="0" applyFont="1" applyFill="1" applyBorder="1" applyAlignment="1">
      <alignment horizontal="center"/>
    </xf>
    <xf numFmtId="0" fontId="9" fillId="4" borderId="5" xfId="0" applyFont="1" applyFill="1" applyBorder="1" applyAlignment="1">
      <alignment horizontal="right"/>
    </xf>
    <xf numFmtId="172" fontId="23" fillId="0" borderId="5" xfId="0" applyNumberFormat="1" applyFont="1" applyBorder="1" applyAlignment="1">
      <alignment horizontal="center"/>
    </xf>
    <xf numFmtId="0" fontId="23" fillId="3" borderId="5" xfId="0" applyFont="1" applyFill="1" applyBorder="1" applyAlignment="1">
      <alignment horizontal="center"/>
    </xf>
    <xf numFmtId="0" fontId="9" fillId="0" borderId="5" xfId="0" applyFont="1" applyBorder="1" applyAlignment="1">
      <alignment horizontal="center"/>
    </xf>
    <xf numFmtId="0" fontId="9" fillId="0" borderId="0" xfId="0" applyFont="1"/>
    <xf numFmtId="0" fontId="0" fillId="4" borderId="13" xfId="0" applyFill="1" applyBorder="1"/>
    <xf numFmtId="0" fontId="0" fillId="4" borderId="14" xfId="0" applyFill="1" applyBorder="1"/>
    <xf numFmtId="0" fontId="0" fillId="4" borderId="2" xfId="0" applyFill="1" applyBorder="1" applyAlignment="1">
      <alignment horizontal="center"/>
    </xf>
    <xf numFmtId="0" fontId="0" fillId="4" borderId="17" xfId="0" applyFill="1" applyBorder="1" applyAlignment="1">
      <alignment horizontal="center"/>
    </xf>
    <xf numFmtId="0" fontId="0" fillId="4" borderId="18" xfId="0" applyFill="1" applyBorder="1" applyAlignment="1"/>
    <xf numFmtId="0" fontId="0" fillId="0" borderId="0" xfId="0" applyFill="1" applyAlignment="1">
      <alignment horizontal="center"/>
    </xf>
    <xf numFmtId="172" fontId="0" fillId="0" borderId="0" xfId="0" applyNumberFormat="1"/>
    <xf numFmtId="0" fontId="0" fillId="0" borderId="19" xfId="0" applyBorder="1"/>
    <xf numFmtId="0" fontId="9" fillId="4" borderId="17" xfId="0" applyFont="1" applyFill="1" applyBorder="1" applyAlignment="1">
      <alignment horizontal="center"/>
    </xf>
    <xf numFmtId="0" fontId="9" fillId="4" borderId="18" xfId="0" quotePrefix="1" applyFont="1" applyFill="1" applyBorder="1" applyAlignment="1"/>
    <xf numFmtId="0" fontId="9" fillId="0" borderId="0" xfId="0" applyFont="1" applyAlignment="1">
      <alignment horizontal="center"/>
    </xf>
    <xf numFmtId="0" fontId="0" fillId="0" borderId="17" xfId="0" applyBorder="1" applyAlignment="1">
      <alignment horizontal="center"/>
    </xf>
    <xf numFmtId="0" fontId="0" fillId="0" borderId="18" xfId="0" applyBorder="1"/>
    <xf numFmtId="0" fontId="0" fillId="0" borderId="0" xfId="0" applyFill="1" applyBorder="1" applyAlignment="1">
      <alignment horizontal="center"/>
    </xf>
    <xf numFmtId="176" fontId="0" fillId="5" borderId="0" xfId="0" applyNumberFormat="1" applyFill="1" applyAlignment="1">
      <alignment horizontal="right"/>
    </xf>
    <xf numFmtId="176" fontId="0" fillId="0" borderId="0" xfId="0" applyNumberFormat="1" applyFill="1" applyAlignment="1">
      <alignment horizontal="right"/>
    </xf>
    <xf numFmtId="0" fontId="1" fillId="4" borderId="18" xfId="0" applyFont="1" applyFill="1" applyBorder="1"/>
    <xf numFmtId="176" fontId="1" fillId="0" borderId="0" xfId="0" applyNumberFormat="1" applyFont="1" applyFill="1" applyAlignment="1">
      <alignment horizontal="right"/>
    </xf>
    <xf numFmtId="0" fontId="0" fillId="4" borderId="18" xfId="0" applyFill="1" applyBorder="1"/>
    <xf numFmtId="172" fontId="24" fillId="0" borderId="0" xfId="0" applyNumberFormat="1" applyFont="1"/>
    <xf numFmtId="176" fontId="0" fillId="5" borderId="19" xfId="0" applyNumberFormat="1" applyFill="1" applyBorder="1" applyAlignment="1">
      <alignment horizontal="right"/>
    </xf>
    <xf numFmtId="172" fontId="24" fillId="0" borderId="18" xfId="0" applyNumberFormat="1" applyFont="1" applyBorder="1"/>
    <xf numFmtId="172" fontId="0" fillId="0" borderId="0" xfId="0" applyNumberFormat="1" applyAlignment="1">
      <alignment horizontal="right"/>
    </xf>
    <xf numFmtId="172" fontId="0" fillId="0" borderId="0" xfId="0" applyNumberFormat="1" applyFill="1" applyBorder="1" applyAlignment="1">
      <alignment horizontal="right"/>
    </xf>
    <xf numFmtId="176" fontId="0" fillId="3" borderId="0" xfId="0" applyNumberFormat="1" applyFill="1" applyAlignment="1">
      <alignment horizontal="right"/>
    </xf>
    <xf numFmtId="176" fontId="0" fillId="3" borderId="19" xfId="0" applyNumberFormat="1" applyFill="1" applyBorder="1" applyAlignment="1">
      <alignment horizontal="right"/>
    </xf>
    <xf numFmtId="0" fontId="0" fillId="4" borderId="8" xfId="0" applyFill="1" applyBorder="1"/>
    <xf numFmtId="0" fontId="9" fillId="4" borderId="5" xfId="0" applyFont="1" applyFill="1" applyBorder="1"/>
    <xf numFmtId="172" fontId="10" fillId="0" borderId="0" xfId="0" applyNumberFormat="1" applyFont="1"/>
    <xf numFmtId="0" fontId="2" fillId="0" borderId="0" xfId="1" applyAlignment="1" applyProtection="1"/>
    <xf numFmtId="0" fontId="1" fillId="0" borderId="0" xfId="0" applyFont="1"/>
    <xf numFmtId="14" fontId="1" fillId="0" borderId="0" xfId="0" applyNumberFormat="1" applyFont="1"/>
    <xf numFmtId="14" fontId="16" fillId="2" borderId="12" xfId="0" applyNumberFormat="1" applyFont="1" applyFill="1" applyBorder="1" applyAlignment="1" applyProtection="1">
      <alignment horizontal="center"/>
      <protection locked="0"/>
    </xf>
    <xf numFmtId="1" fontId="16" fillId="2" borderId="12" xfId="0" applyNumberFormat="1" applyFont="1" applyFill="1" applyBorder="1" applyAlignment="1" applyProtection="1">
      <alignment horizontal="center"/>
      <protection locked="0"/>
    </xf>
    <xf numFmtId="0" fontId="5" fillId="0" borderId="0" xfId="0" applyFont="1" applyFill="1" applyAlignment="1">
      <alignment horizontal="left" wrapText="1"/>
    </xf>
    <xf numFmtId="0" fontId="3" fillId="0" borderId="0" xfId="0" applyFont="1" applyFill="1" applyAlignment="1">
      <alignment vertical="top" wrapText="1"/>
    </xf>
    <xf numFmtId="0" fontId="10" fillId="0" borderId="0" xfId="0" applyNumberFormat="1" applyFont="1" applyAlignment="1">
      <alignment horizontal="left"/>
    </xf>
    <xf numFmtId="0" fontId="10" fillId="0" borderId="0" xfId="0" applyFont="1"/>
    <xf numFmtId="0" fontId="2" fillId="2" borderId="16" xfId="1" applyFont="1" applyFill="1" applyBorder="1" applyAlignment="1" applyProtection="1">
      <protection locked="0"/>
    </xf>
    <xf numFmtId="14" fontId="16" fillId="2" borderId="16" xfId="0" applyNumberFormat="1" applyFont="1" applyFill="1" applyBorder="1" applyAlignment="1" applyProtection="1">
      <alignment horizontal="center"/>
      <protection locked="0"/>
    </xf>
    <xf numFmtId="0" fontId="3" fillId="0" borderId="0" xfId="0" applyNumberFormat="1" applyFont="1" applyFill="1" applyAlignment="1">
      <alignment vertical="top" wrapText="1"/>
    </xf>
    <xf numFmtId="0" fontId="20" fillId="5" borderId="0" xfId="0" applyNumberFormat="1" applyFont="1" applyFill="1" applyAlignment="1">
      <alignment horizontal="center"/>
    </xf>
    <xf numFmtId="49" fontId="2" fillId="2" borderId="0" xfId="1" applyNumberFormat="1" applyFont="1" applyFill="1" applyAlignment="1" applyProtection="1">
      <alignment horizontal="center"/>
      <protection locked="0"/>
    </xf>
    <xf numFmtId="9" fontId="1" fillId="5" borderId="0" xfId="0" applyNumberFormat="1" applyFont="1" applyFill="1" applyAlignment="1">
      <alignment horizontal="right"/>
    </xf>
    <xf numFmtId="14" fontId="0" fillId="0" borderId="0" xfId="0" applyNumberFormat="1" applyAlignment="1">
      <alignment horizontal="left"/>
    </xf>
    <xf numFmtId="176" fontId="8" fillId="0" borderId="0" xfId="0" applyNumberFormat="1" applyFont="1" applyFill="1"/>
    <xf numFmtId="0" fontId="9" fillId="0" borderId="0" xfId="0" applyFont="1" applyFill="1"/>
    <xf numFmtId="0" fontId="17" fillId="4" borderId="13" xfId="0" applyFont="1" applyFill="1" applyBorder="1" applyProtection="1"/>
    <xf numFmtId="0" fontId="0" fillId="4" borderId="5" xfId="0" applyFill="1" applyBorder="1" applyProtection="1"/>
    <xf numFmtId="0" fontId="0" fillId="4" borderId="5" xfId="0" applyFill="1" applyBorder="1" applyAlignment="1" applyProtection="1">
      <alignment horizontal="center"/>
    </xf>
    <xf numFmtId="0" fontId="0" fillId="4" borderId="14" xfId="0" applyFill="1" applyBorder="1" applyAlignment="1" applyProtection="1">
      <alignment horizontal="center"/>
    </xf>
    <xf numFmtId="0" fontId="10" fillId="0" borderId="0" xfId="0" applyFont="1" applyProtection="1"/>
    <xf numFmtId="0" fontId="3" fillId="4" borderId="2" xfId="0" applyFont="1" applyFill="1" applyBorder="1" applyProtection="1"/>
    <xf numFmtId="0" fontId="3" fillId="4" borderId="2" xfId="0" applyFont="1" applyFill="1" applyBorder="1" applyAlignment="1" applyProtection="1">
      <alignment horizontal="center"/>
    </xf>
    <xf numFmtId="0" fontId="25" fillId="0" borderId="0" xfId="0" applyFont="1" applyProtection="1"/>
    <xf numFmtId="0" fontId="3" fillId="0" borderId="0" xfId="0" applyFont="1" applyProtection="1"/>
    <xf numFmtId="0" fontId="16" fillId="2" borderId="12" xfId="0" applyFont="1" applyFill="1" applyBorder="1" applyAlignment="1" applyProtection="1">
      <alignment horizontal="center"/>
    </xf>
    <xf numFmtId="0" fontId="0" fillId="0" borderId="0" xfId="0" applyAlignment="1" applyProtection="1">
      <alignment horizontal="center"/>
    </xf>
    <xf numFmtId="0" fontId="9" fillId="0" borderId="0" xfId="0" applyFont="1" applyAlignment="1" applyProtection="1">
      <alignment horizontal="right"/>
    </xf>
    <xf numFmtId="0" fontId="9" fillId="4" borderId="5" xfId="0" applyFont="1" applyFill="1" applyBorder="1" applyAlignment="1" applyProtection="1">
      <alignment horizontal="center" vertical="top"/>
    </xf>
    <xf numFmtId="0" fontId="9" fillId="4" borderId="14" xfId="0" applyFont="1" applyFill="1" applyBorder="1" applyAlignment="1" applyProtection="1">
      <alignment horizontal="center" vertical="top"/>
    </xf>
    <xf numFmtId="0" fontId="9" fillId="0" borderId="0" xfId="0" applyFont="1" applyFill="1" applyBorder="1" applyAlignment="1" applyProtection="1">
      <alignment vertical="top"/>
    </xf>
    <xf numFmtId="0" fontId="0" fillId="0" borderId="0" xfId="0" applyFill="1" applyBorder="1" applyAlignment="1" applyProtection="1">
      <alignment wrapText="1"/>
    </xf>
    <xf numFmtId="0" fontId="16" fillId="2" borderId="9" xfId="0" applyFont="1" applyFill="1" applyBorder="1" applyAlignment="1" applyProtection="1">
      <alignment horizontal="center"/>
    </xf>
    <xf numFmtId="0" fontId="16" fillId="0" borderId="0" xfId="0" applyFont="1" applyProtection="1"/>
    <xf numFmtId="0" fontId="15" fillId="4" borderId="14" xfId="0" applyFont="1" applyFill="1" applyBorder="1" applyAlignment="1" applyProtection="1">
      <alignment horizontal="center" vertical="top"/>
    </xf>
    <xf numFmtId="0" fontId="15" fillId="0" borderId="0" xfId="0" applyFont="1" applyAlignment="1" applyProtection="1">
      <alignment vertical="top"/>
    </xf>
    <xf numFmtId="0" fontId="15" fillId="4" borderId="13"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3" fillId="4" borderId="14" xfId="0" applyFont="1" applyFill="1" applyBorder="1" applyAlignment="1" applyProtection="1">
      <alignment vertical="center" wrapText="1"/>
    </xf>
    <xf numFmtId="0" fontId="15" fillId="4" borderId="2" xfId="0" applyFont="1" applyFill="1" applyBorder="1" applyAlignment="1" applyProtection="1">
      <alignment horizontal="center" vertical="center" wrapText="1"/>
    </xf>
    <xf numFmtId="0" fontId="3" fillId="0" borderId="0" xfId="0" applyFont="1" applyAlignment="1" applyProtection="1">
      <alignment vertical="center" wrapText="1"/>
    </xf>
    <xf numFmtId="0" fontId="3" fillId="4" borderId="10" xfId="0" applyFont="1" applyFill="1" applyBorder="1" applyAlignment="1" applyProtection="1">
      <alignment horizontal="center" vertical="center" wrapText="1"/>
    </xf>
    <xf numFmtId="0" fontId="3" fillId="4" borderId="10" xfId="0" applyFont="1" applyFill="1" applyBorder="1" applyAlignment="1" applyProtection="1">
      <alignment vertical="center" wrapText="1"/>
    </xf>
    <xf numFmtId="0" fontId="3" fillId="4" borderId="2" xfId="0" applyFont="1" applyFill="1" applyBorder="1" applyAlignment="1" applyProtection="1">
      <alignment horizontal="center" vertical="center" wrapText="1"/>
    </xf>
    <xf numFmtId="0" fontId="3" fillId="4" borderId="10" xfId="0" applyFont="1" applyFill="1" applyBorder="1" applyAlignment="1" applyProtection="1">
      <alignment horizontal="center"/>
    </xf>
    <xf numFmtId="0" fontId="3" fillId="4" borderId="10" xfId="0" applyFont="1" applyFill="1" applyBorder="1" applyProtection="1"/>
    <xf numFmtId="0" fontId="3" fillId="0" borderId="19" xfId="0" applyFont="1" applyBorder="1" applyAlignment="1" applyProtection="1">
      <alignment horizontal="center"/>
    </xf>
    <xf numFmtId="0" fontId="0" fillId="4" borderId="9" xfId="0" applyFill="1" applyBorder="1" applyAlignment="1" applyProtection="1">
      <alignment horizontal="center"/>
    </xf>
    <xf numFmtId="0" fontId="0" fillId="3" borderId="9" xfId="0" applyFill="1" applyBorder="1" applyAlignment="1" applyProtection="1">
      <alignment horizontal="center"/>
    </xf>
    <xf numFmtId="0" fontId="0" fillId="4" borderId="11" xfId="0" applyFill="1" applyBorder="1" applyAlignment="1" applyProtection="1">
      <alignment horizontal="center"/>
    </xf>
    <xf numFmtId="0" fontId="0" fillId="4" borderId="12" xfId="0" applyFill="1" applyBorder="1" applyAlignment="1" applyProtection="1">
      <alignment horizontal="center"/>
    </xf>
    <xf numFmtId="0" fontId="0" fillId="3" borderId="12" xfId="0" applyFill="1" applyBorder="1" applyAlignment="1" applyProtection="1">
      <alignment horizontal="center"/>
    </xf>
    <xf numFmtId="0" fontId="0" fillId="2" borderId="11" xfId="0" applyFill="1" applyBorder="1" applyAlignment="1" applyProtection="1">
      <alignment horizontal="center"/>
    </xf>
    <xf numFmtId="0" fontId="0" fillId="0" borderId="0" xfId="0" applyBorder="1"/>
    <xf numFmtId="0" fontId="1" fillId="0" borderId="0" xfId="0" applyFont="1" applyProtection="1"/>
    <xf numFmtId="0" fontId="21" fillId="0" borderId="0" xfId="0" applyFont="1" applyAlignment="1">
      <alignment horizontal="right"/>
    </xf>
    <xf numFmtId="0" fontId="8" fillId="0" borderId="0" xfId="0" applyFont="1" applyFill="1" applyBorder="1"/>
    <xf numFmtId="0" fontId="8" fillId="0" borderId="0" xfId="0" applyFont="1" applyBorder="1"/>
    <xf numFmtId="0" fontId="5" fillId="0" borderId="0" xfId="0" applyFont="1" applyFill="1" applyBorder="1" applyAlignment="1" applyProtection="1">
      <alignment vertical="top"/>
    </xf>
    <xf numFmtId="0" fontId="5" fillId="0" borderId="0" xfId="0" applyFont="1" applyFill="1" applyBorder="1" applyAlignment="1" applyProtection="1">
      <alignment wrapText="1"/>
    </xf>
    <xf numFmtId="0" fontId="5" fillId="0" borderId="0" xfId="0" applyFont="1" applyProtection="1"/>
    <xf numFmtId="0" fontId="9" fillId="0" borderId="0" xfId="0" applyFont="1" applyFill="1" applyBorder="1" applyAlignment="1" applyProtection="1">
      <alignment horizontal="center" vertical="top"/>
    </xf>
    <xf numFmtId="3" fontId="0" fillId="5" borderId="0" xfId="0" applyNumberFormat="1" applyFill="1" applyAlignment="1">
      <alignment horizontal="center"/>
    </xf>
    <xf numFmtId="3" fontId="0" fillId="0" borderId="0" xfId="0" applyNumberFormat="1" applyFill="1" applyAlignment="1">
      <alignment horizontal="center"/>
    </xf>
    <xf numFmtId="0" fontId="9" fillId="4" borderId="0" xfId="0" applyFont="1" applyFill="1" applyAlignment="1">
      <alignment horizontal="left"/>
    </xf>
    <xf numFmtId="0" fontId="27" fillId="2" borderId="0" xfId="1" applyNumberFormat="1" applyFont="1" applyFill="1" applyAlignment="1" applyProtection="1">
      <alignment horizontal="center"/>
      <protection locked="0"/>
    </xf>
    <xf numFmtId="0" fontId="8" fillId="0" borderId="0" xfId="0" applyFont="1" applyFill="1" applyBorder="1" applyAlignment="1">
      <alignment horizontal="center"/>
    </xf>
    <xf numFmtId="0" fontId="8" fillId="0" borderId="0" xfId="0" applyFont="1" applyBorder="1" applyAlignment="1">
      <alignment horizontal="center"/>
    </xf>
    <xf numFmtId="0" fontId="0" fillId="0" borderId="7" xfId="0" applyBorder="1" applyAlignment="1">
      <alignment horizontal="center"/>
    </xf>
    <xf numFmtId="0" fontId="5" fillId="0" borderId="0" xfId="0" applyFont="1" applyFill="1" applyBorder="1" applyAlignment="1" applyProtection="1">
      <alignment horizontal="center" wrapText="1"/>
    </xf>
    <xf numFmtId="0" fontId="14" fillId="0" borderId="0" xfId="0" applyFont="1" applyAlignment="1" applyProtection="1">
      <alignment horizontal="center" vertical="center" wrapText="1"/>
    </xf>
    <xf numFmtId="175" fontId="9" fillId="3" borderId="0" xfId="0" applyNumberFormat="1" applyFont="1" applyFill="1" applyAlignment="1" applyProtection="1">
      <alignment horizontal="center" wrapText="1"/>
    </xf>
    <xf numFmtId="0" fontId="9" fillId="4" borderId="13" xfId="0" applyFont="1" applyFill="1" applyBorder="1" applyAlignment="1">
      <alignment horizontal="left"/>
    </xf>
    <xf numFmtId="14" fontId="0" fillId="0" borderId="0" xfId="0" applyNumberFormat="1" applyAlignment="1">
      <alignment horizontal="right"/>
    </xf>
    <xf numFmtId="14" fontId="0" fillId="0" borderId="0" xfId="0" applyNumberFormat="1" applyFill="1" applyAlignment="1">
      <alignment horizontal="center"/>
    </xf>
    <xf numFmtId="14" fontId="0" fillId="0" borderId="0" xfId="0" applyNumberFormat="1" applyFill="1" applyAlignment="1">
      <alignment horizontal="left"/>
    </xf>
    <xf numFmtId="0" fontId="2" fillId="0" borderId="0" xfId="1" applyFill="1" applyAlignment="1" applyProtection="1"/>
    <xf numFmtId="0" fontId="0" fillId="0" borderId="0" xfId="0" quotePrefix="1" applyFill="1"/>
    <xf numFmtId="0" fontId="0" fillId="0" borderId="0" xfId="0" applyFill="1" applyBorder="1"/>
    <xf numFmtId="0" fontId="8" fillId="0" borderId="0" xfId="0" applyFont="1" applyFill="1" applyBorder="1" applyAlignment="1" applyProtection="1">
      <alignment horizontal="center" wrapText="1"/>
    </xf>
    <xf numFmtId="181" fontId="8" fillId="0" borderId="0" xfId="0" applyNumberFormat="1" applyFont="1" applyAlignment="1" applyProtection="1">
      <alignment horizontal="center"/>
    </xf>
    <xf numFmtId="0" fontId="8" fillId="0" borderId="0" xfId="0" applyFont="1" applyAlignment="1" applyProtection="1">
      <alignment horizontal="center"/>
    </xf>
    <xf numFmtId="0" fontId="0" fillId="0" borderId="0" xfId="0" quotePrefix="1"/>
    <xf numFmtId="0" fontId="10" fillId="0" borderId="0" xfId="0" applyFont="1" applyAlignment="1">
      <alignment horizontal="center"/>
    </xf>
    <xf numFmtId="0" fontId="8" fillId="5" borderId="0" xfId="0" applyFont="1" applyFill="1" applyAlignment="1">
      <alignment horizontal="center"/>
    </xf>
    <xf numFmtId="0" fontId="9" fillId="3" borderId="0" xfId="0" applyFont="1" applyFill="1" applyAlignment="1">
      <alignment horizontal="center"/>
    </xf>
    <xf numFmtId="0" fontId="9" fillId="0" borderId="0" xfId="0" applyFont="1" applyFill="1" applyAlignment="1">
      <alignment horizontal="center"/>
    </xf>
    <xf numFmtId="0" fontId="9" fillId="3" borderId="19" xfId="0" applyFont="1" applyFill="1" applyBorder="1" applyAlignment="1">
      <alignment horizontal="center"/>
    </xf>
    <xf numFmtId="172" fontId="9" fillId="0" borderId="0" xfId="0" applyNumberFormat="1" applyFont="1"/>
    <xf numFmtId="0" fontId="9" fillId="3" borderId="5" xfId="0" applyFont="1" applyFill="1" applyBorder="1" applyAlignment="1">
      <alignment horizontal="center"/>
    </xf>
    <xf numFmtId="185" fontId="9" fillId="4" borderId="2" xfId="0" applyNumberFormat="1" applyFont="1" applyFill="1" applyBorder="1" applyAlignment="1">
      <alignment horizontal="right"/>
    </xf>
    <xf numFmtId="0" fontId="10" fillId="0" borderId="0" xfId="0" quotePrefix="1" applyFont="1"/>
    <xf numFmtId="0" fontId="9" fillId="0" borderId="0" xfId="0" applyNumberFormat="1" applyFont="1" applyFill="1" applyAlignment="1">
      <alignment horizontal="center"/>
    </xf>
    <xf numFmtId="0" fontId="0" fillId="0" borderId="0" xfId="0" quotePrefix="1" applyAlignment="1">
      <alignment horizontal="center"/>
    </xf>
    <xf numFmtId="0" fontId="0" fillId="0" borderId="20" xfId="0" applyBorder="1"/>
    <xf numFmtId="0" fontId="28" fillId="0" borderId="0" xfId="0" applyFont="1" applyProtection="1"/>
    <xf numFmtId="0" fontId="29" fillId="0" borderId="0" xfId="0" applyFont="1" applyProtection="1"/>
    <xf numFmtId="0" fontId="30" fillId="0" borderId="0" xfId="0" applyFont="1" applyProtection="1"/>
    <xf numFmtId="0" fontId="28" fillId="0" borderId="0" xfId="0" applyFont="1" applyFill="1" applyBorder="1" applyAlignment="1" applyProtection="1">
      <alignment vertical="center"/>
    </xf>
    <xf numFmtId="0" fontId="5" fillId="4" borderId="19" xfId="0" applyFont="1" applyFill="1" applyBorder="1" applyAlignment="1" applyProtection="1">
      <alignment horizontal="center" wrapText="1"/>
    </xf>
    <xf numFmtId="0" fontId="5" fillId="4" borderId="18" xfId="0" applyFont="1" applyFill="1" applyBorder="1" applyAlignment="1" applyProtection="1">
      <alignment horizontal="center" wrapText="1"/>
    </xf>
    <xf numFmtId="0" fontId="5" fillId="0" borderId="5" xfId="0" applyFont="1" applyFill="1" applyBorder="1" applyAlignment="1" applyProtection="1">
      <alignment wrapText="1"/>
    </xf>
    <xf numFmtId="0" fontId="26" fillId="0" borderId="21" xfId="0" applyFont="1" applyBorder="1" applyProtection="1"/>
    <xf numFmtId="0" fontId="5" fillId="0" borderId="21" xfId="0" applyFont="1" applyBorder="1" applyAlignment="1" applyProtection="1">
      <alignment horizontal="center"/>
    </xf>
    <xf numFmtId="0" fontId="14" fillId="0" borderId="21" xfId="0" applyFont="1" applyBorder="1" applyAlignment="1" applyProtection="1">
      <alignment horizontal="center" vertical="center" wrapText="1"/>
    </xf>
    <xf numFmtId="0" fontId="14" fillId="0" borderId="22" xfId="0" applyFont="1" applyBorder="1" applyAlignment="1" applyProtection="1">
      <alignment horizontal="center" vertical="center" wrapText="1"/>
    </xf>
    <xf numFmtId="0" fontId="14" fillId="0" borderId="23" xfId="0" applyFont="1" applyBorder="1" applyAlignment="1" applyProtection="1">
      <alignment horizontal="center" vertical="center" wrapText="1"/>
    </xf>
    <xf numFmtId="0" fontId="26" fillId="0" borderId="4" xfId="0" applyFont="1" applyBorder="1" applyProtection="1"/>
    <xf numFmtId="0" fontId="5" fillId="0" borderId="4" xfId="0" applyFont="1" applyBorder="1" applyAlignment="1" applyProtection="1">
      <alignment horizontal="center"/>
    </xf>
    <xf numFmtId="0" fontId="14" fillId="0" borderId="4" xfId="0" applyFont="1" applyBorder="1" applyAlignment="1" applyProtection="1">
      <alignment horizontal="center" vertical="center" wrapText="1"/>
    </xf>
    <xf numFmtId="0" fontId="14" fillId="0" borderId="24" xfId="0" applyFont="1" applyBorder="1" applyAlignment="1" applyProtection="1">
      <alignment horizontal="center" vertical="center" wrapText="1"/>
    </xf>
    <xf numFmtId="0" fontId="14" fillId="0" borderId="25" xfId="0" applyFont="1" applyBorder="1" applyAlignment="1" applyProtection="1">
      <alignment horizontal="center" vertical="center" wrapText="1"/>
    </xf>
    <xf numFmtId="0" fontId="5" fillId="0" borderId="2" xfId="0" applyFont="1" applyFill="1" applyBorder="1" applyAlignment="1" applyProtection="1">
      <alignment horizontal="center" wrapText="1"/>
    </xf>
    <xf numFmtId="0" fontId="5" fillId="0" borderId="26" xfId="0" applyFont="1" applyBorder="1" applyProtection="1"/>
    <xf numFmtId="0" fontId="5" fillId="0" borderId="27" xfId="0" applyFont="1" applyBorder="1" applyProtection="1"/>
    <xf numFmtId="0" fontId="5" fillId="0" borderId="13" xfId="0" applyFont="1" applyFill="1" applyBorder="1" applyAlignment="1" applyProtection="1">
      <alignment wrapText="1"/>
    </xf>
    <xf numFmtId="0" fontId="16" fillId="0" borderId="23" xfId="0" applyFont="1" applyFill="1" applyBorder="1" applyProtection="1"/>
    <xf numFmtId="0" fontId="16" fillId="0" borderId="25" xfId="0" applyFont="1" applyFill="1" applyBorder="1" applyProtection="1"/>
    <xf numFmtId="0" fontId="0" fillId="0" borderId="0" xfId="0" applyFill="1" applyProtection="1"/>
    <xf numFmtId="0" fontId="14" fillId="0" borderId="0" xfId="0" applyFont="1" applyBorder="1" applyAlignment="1" applyProtection="1">
      <alignment horizontal="center" vertical="center" wrapText="1"/>
    </xf>
    <xf numFmtId="0" fontId="16" fillId="0" borderId="28" xfId="0" applyFont="1" applyFill="1" applyBorder="1" applyProtection="1"/>
    <xf numFmtId="0" fontId="26" fillId="0" borderId="29" xfId="0" applyFont="1" applyBorder="1" applyProtection="1"/>
    <xf numFmtId="0" fontId="5" fillId="0" borderId="29" xfId="0" applyFont="1" applyBorder="1" applyAlignment="1" applyProtection="1">
      <alignment horizontal="center"/>
    </xf>
    <xf numFmtId="0" fontId="14" fillId="0" borderId="28" xfId="0" applyFont="1" applyBorder="1" applyAlignment="1" applyProtection="1">
      <alignment horizontal="center" vertical="center" wrapText="1"/>
    </xf>
    <xf numFmtId="0" fontId="14" fillId="0" borderId="29" xfId="0" applyFont="1" applyBorder="1" applyAlignment="1" applyProtection="1">
      <alignment horizontal="center" vertical="center" wrapText="1"/>
    </xf>
    <xf numFmtId="0" fontId="14" fillId="0" borderId="30" xfId="0" applyFont="1" applyBorder="1" applyAlignment="1" applyProtection="1">
      <alignment horizontal="center" vertical="center" wrapText="1"/>
    </xf>
    <xf numFmtId="0" fontId="5" fillId="0" borderId="31" xfId="0" applyFont="1" applyBorder="1" applyProtection="1"/>
    <xf numFmtId="186" fontId="5" fillId="0" borderId="26" xfId="0" applyNumberFormat="1" applyFont="1" applyBorder="1" applyAlignment="1" applyProtection="1">
      <alignment horizontal="center"/>
    </xf>
    <xf numFmtId="186" fontId="5" fillId="0" borderId="27" xfId="0" applyNumberFormat="1" applyFont="1" applyBorder="1" applyAlignment="1" applyProtection="1">
      <alignment horizontal="center"/>
    </xf>
    <xf numFmtId="186" fontId="5" fillId="0" borderId="31" xfId="0" applyNumberFormat="1" applyFont="1" applyBorder="1" applyAlignment="1" applyProtection="1">
      <alignment horizontal="center"/>
    </xf>
    <xf numFmtId="0" fontId="0" fillId="0" borderId="0" xfId="0" applyAlignment="1">
      <alignment wrapText="1"/>
    </xf>
    <xf numFmtId="0" fontId="0" fillId="0" borderId="0" xfId="0" quotePrefix="1" applyFill="1" applyBorder="1"/>
    <xf numFmtId="0" fontId="8" fillId="0" borderId="0" xfId="0" applyFont="1" applyProtection="1"/>
    <xf numFmtId="0" fontId="0" fillId="0" borderId="0" xfId="0" applyNumberFormat="1" applyAlignment="1">
      <alignment horizontal="center"/>
    </xf>
    <xf numFmtId="0" fontId="0" fillId="0" borderId="7" xfId="0" applyNumberFormat="1" applyBorder="1" applyAlignment="1">
      <alignment horizontal="center"/>
    </xf>
    <xf numFmtId="0" fontId="0" fillId="4" borderId="5" xfId="0" applyFill="1" applyBorder="1" applyAlignment="1">
      <alignment horizontal="center" wrapText="1"/>
    </xf>
    <xf numFmtId="0" fontId="0" fillId="4" borderId="5" xfId="0" applyFill="1" applyBorder="1" applyAlignment="1">
      <alignment wrapText="1"/>
    </xf>
    <xf numFmtId="172" fontId="20" fillId="4" borderId="5" xfId="0" applyNumberFormat="1" applyFont="1" applyFill="1" applyBorder="1" applyAlignment="1">
      <alignment horizontal="center" wrapText="1"/>
    </xf>
    <xf numFmtId="0" fontId="8" fillId="4" borderId="5" xfId="0" applyFont="1" applyFill="1" applyBorder="1" applyAlignment="1">
      <alignment horizontal="center" wrapText="1"/>
    </xf>
    <xf numFmtId="0" fontId="8" fillId="4" borderId="18" xfId="0" applyFont="1" applyFill="1" applyBorder="1"/>
    <xf numFmtId="0" fontId="28" fillId="4" borderId="5" xfId="0" applyFont="1" applyFill="1" applyBorder="1" applyAlignment="1" applyProtection="1">
      <alignment horizontal="left" vertical="top"/>
    </xf>
    <xf numFmtId="0" fontId="31" fillId="0" borderId="0" xfId="0" applyFont="1" applyProtection="1"/>
    <xf numFmtId="0" fontId="2" fillId="0" borderId="0" xfId="1" applyFont="1" applyFill="1" applyAlignment="1" applyProtection="1"/>
    <xf numFmtId="14" fontId="0" fillId="0" borderId="0" xfId="0" applyNumberFormat="1" applyFill="1" applyAlignment="1">
      <alignment horizontal="right"/>
    </xf>
    <xf numFmtId="0" fontId="9" fillId="6" borderId="5" xfId="0" applyFont="1" applyFill="1" applyBorder="1" applyAlignment="1">
      <alignment horizontal="center"/>
    </xf>
    <xf numFmtId="172" fontId="9" fillId="6" borderId="5" xfId="0" applyNumberFormat="1" applyFont="1" applyFill="1" applyBorder="1" applyAlignment="1">
      <alignment horizontal="center"/>
    </xf>
    <xf numFmtId="0" fontId="0" fillId="6" borderId="0" xfId="0" applyFill="1" applyAlignment="1">
      <alignment horizontal="center"/>
    </xf>
    <xf numFmtId="0" fontId="0" fillId="0" borderId="32" xfId="0" applyBorder="1" applyAlignment="1">
      <alignment horizontal="center"/>
    </xf>
    <xf numFmtId="0" fontId="8" fillId="0" borderId="0" xfId="0" applyFont="1" applyFill="1" applyBorder="1" applyAlignment="1" applyProtection="1">
      <alignment horizontal="center" vertical="center" wrapText="1"/>
    </xf>
    <xf numFmtId="0" fontId="0" fillId="0" borderId="0" xfId="0" applyFill="1" applyBorder="1" applyAlignment="1" applyProtection="1">
      <alignment horizontal="center" wrapText="1"/>
    </xf>
    <xf numFmtId="0" fontId="32" fillId="0" borderId="0" xfId="0" applyFont="1" applyFill="1" applyBorder="1" applyAlignment="1" applyProtection="1">
      <alignment horizontal="center" wrapText="1"/>
    </xf>
    <xf numFmtId="0" fontId="32" fillId="0" borderId="0" xfId="0" applyFont="1" applyFill="1" applyBorder="1" applyAlignment="1" applyProtection="1">
      <alignment horizontal="center" vertical="center" wrapText="1"/>
    </xf>
    <xf numFmtId="0" fontId="26" fillId="0" borderId="21" xfId="0" applyFont="1" applyFill="1" applyBorder="1" applyAlignment="1" applyProtection="1">
      <alignment horizontal="center"/>
    </xf>
    <xf numFmtId="0" fontId="26" fillId="0" borderId="4" xfId="0" applyFont="1" applyBorder="1" applyAlignment="1" applyProtection="1">
      <alignment horizontal="center"/>
    </xf>
    <xf numFmtId="0" fontId="26" fillId="0" borderId="29" xfId="0" applyFont="1" applyBorder="1" applyAlignment="1" applyProtection="1">
      <alignment horizontal="center"/>
    </xf>
    <xf numFmtId="0" fontId="0" fillId="0" borderId="0" xfId="0" applyBorder="1" applyAlignment="1">
      <alignment horizontal="center"/>
    </xf>
    <xf numFmtId="0" fontId="0" fillId="0" borderId="0" xfId="0" applyBorder="1" applyAlignment="1">
      <alignment horizontal="right"/>
    </xf>
    <xf numFmtId="0" fontId="8" fillId="0" borderId="0" xfId="0" applyFont="1" applyFill="1" applyAlignment="1">
      <alignment horizontal="right"/>
    </xf>
    <xf numFmtId="0" fontId="1" fillId="0" borderId="0" xfId="0" applyFont="1" applyAlignment="1" applyProtection="1">
      <alignment horizontal="center"/>
    </xf>
    <xf numFmtId="0" fontId="33" fillId="0" borderId="5" xfId="0" applyFont="1" applyFill="1" applyBorder="1" applyAlignment="1" applyProtection="1"/>
    <xf numFmtId="0" fontId="34" fillId="0" borderId="0" xfId="0" applyFont="1" applyAlignment="1" applyProtection="1">
      <alignment vertical="center" wrapText="1"/>
    </xf>
    <xf numFmtId="0" fontId="9" fillId="2" borderId="0" xfId="0" applyFont="1" applyFill="1" applyAlignment="1" applyProtection="1">
      <alignment horizontal="center"/>
      <protection locked="0"/>
    </xf>
    <xf numFmtId="0" fontId="16" fillId="0" borderId="0" xfId="0" applyFont="1" applyAlignment="1" applyProtection="1">
      <alignment horizontal="center"/>
    </xf>
    <xf numFmtId="0" fontId="21" fillId="0" borderId="0" xfId="0" applyFont="1" applyFill="1" applyBorder="1" applyAlignment="1" applyProtection="1">
      <alignment horizontal="center" vertical="center" wrapText="1"/>
    </xf>
    <xf numFmtId="0" fontId="10" fillId="3" borderId="5" xfId="0" applyFont="1" applyFill="1" applyBorder="1" applyAlignment="1">
      <alignment horizontal="center"/>
    </xf>
    <xf numFmtId="172" fontId="10" fillId="0" borderId="5" xfId="0" applyNumberFormat="1" applyFont="1" applyBorder="1" applyAlignment="1">
      <alignment horizontal="center"/>
    </xf>
    <xf numFmtId="0" fontId="10" fillId="0" borderId="5" xfId="0" applyFont="1" applyBorder="1" applyAlignment="1">
      <alignment horizontal="center"/>
    </xf>
    <xf numFmtId="172" fontId="10" fillId="3" borderId="5" xfId="0" applyNumberFormat="1" applyFont="1" applyFill="1" applyBorder="1" applyAlignment="1">
      <alignment horizontal="center"/>
    </xf>
    <xf numFmtId="14" fontId="0" fillId="3" borderId="0" xfId="0" applyNumberFormat="1" applyFill="1" applyAlignment="1">
      <alignment horizontal="right"/>
    </xf>
    <xf numFmtId="14" fontId="0" fillId="3" borderId="0" xfId="0" applyNumberFormat="1" applyFill="1" applyAlignment="1">
      <alignment horizontal="center"/>
    </xf>
    <xf numFmtId="0" fontId="0" fillId="3" borderId="0" xfId="0" applyFill="1"/>
    <xf numFmtId="0" fontId="26" fillId="0" borderId="4" xfId="0" applyFont="1" applyBorder="1" applyAlignment="1" applyProtection="1">
      <alignment horizontal="left"/>
    </xf>
    <xf numFmtId="14" fontId="16" fillId="2" borderId="9" xfId="0" applyNumberFormat="1" applyFont="1" applyFill="1" applyBorder="1" applyAlignment="1" applyProtection="1">
      <alignment horizontal="center"/>
      <protection locked="0"/>
    </xf>
    <xf numFmtId="0" fontId="16" fillId="0" borderId="33" xfId="0" applyFont="1" applyFill="1" applyBorder="1" applyProtection="1"/>
    <xf numFmtId="0" fontId="26" fillId="0" borderId="3" xfId="0" applyFont="1" applyBorder="1" applyProtection="1"/>
    <xf numFmtId="0" fontId="5" fillId="0" borderId="3" xfId="0" applyFont="1" applyBorder="1" applyAlignment="1" applyProtection="1">
      <alignment horizontal="center"/>
    </xf>
    <xf numFmtId="0" fontId="26" fillId="0" borderId="3" xfId="0" applyFont="1" applyBorder="1" applyAlignment="1" applyProtection="1">
      <alignment horizontal="center"/>
    </xf>
    <xf numFmtId="0" fontId="5" fillId="0" borderId="34" xfId="0" applyFont="1" applyBorder="1" applyProtection="1"/>
    <xf numFmtId="186" fontId="5" fillId="0" borderId="34" xfId="0" applyNumberFormat="1" applyFont="1" applyBorder="1" applyAlignment="1" applyProtection="1">
      <alignment horizontal="center"/>
    </xf>
    <xf numFmtId="0" fontId="14" fillId="0" borderId="33"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35" xfId="0" applyFont="1" applyBorder="1" applyAlignment="1" applyProtection="1">
      <alignment horizontal="center" vertical="center" wrapText="1"/>
    </xf>
    <xf numFmtId="0" fontId="5" fillId="0" borderId="13" xfId="0" applyFont="1" applyFill="1" applyBorder="1" applyAlignment="1" applyProtection="1">
      <alignment horizontal="center" wrapText="1"/>
    </xf>
    <xf numFmtId="0" fontId="5" fillId="0" borderId="5" xfId="0" applyFont="1" applyFill="1" applyBorder="1" applyAlignment="1" applyProtection="1">
      <alignment horizontal="center" wrapText="1"/>
    </xf>
    <xf numFmtId="0" fontId="5" fillId="0" borderId="14" xfId="0" applyFont="1" applyFill="1" applyBorder="1" applyAlignment="1" applyProtection="1">
      <alignment horizontal="center" wrapText="1"/>
    </xf>
    <xf numFmtId="172" fontId="20" fillId="4" borderId="5" xfId="0" applyNumberFormat="1" applyFont="1" applyFill="1" applyBorder="1" applyAlignment="1">
      <alignment horizontal="center" wrapText="1"/>
    </xf>
    <xf numFmtId="0" fontId="20" fillId="4" borderId="5" xfId="0" applyFont="1" applyFill="1" applyBorder="1" applyAlignment="1">
      <alignment horizontal="center" wrapText="1"/>
    </xf>
    <xf numFmtId="0" fontId="0" fillId="0" borderId="5" xfId="0" applyBorder="1" applyAlignment="1">
      <alignment wrapText="1"/>
    </xf>
  </cellXfs>
  <cellStyles count="2">
    <cellStyle name="Link" xfId="1" builtinId="8"/>
    <cellStyle name="Standard" xfId="0" builtinId="0"/>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mailto:info@stb.de" TargetMode="External"/><Relationship Id="rId1" Type="http://schemas.openxmlformats.org/officeDocument/2006/relationships/hyperlink" Target="mailto:info@tgnt.d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mailto:cmc_kroell@web.de" TargetMode="External"/><Relationship Id="rId2" Type="http://schemas.openxmlformats.org/officeDocument/2006/relationships/hyperlink" Target="mailto:u.billerbeck@tgnt.de" TargetMode="External"/><Relationship Id="rId1" Type="http://schemas.openxmlformats.org/officeDocument/2006/relationships/hyperlink" Target="mailto:turnschule@turnen-wernau.de" TargetMode="External"/><Relationship Id="rId6" Type="http://schemas.openxmlformats.org/officeDocument/2006/relationships/printerSettings" Target="../printerSettings/printerSettings8.bin"/><Relationship Id="rId5" Type="http://schemas.openxmlformats.org/officeDocument/2006/relationships/hyperlink" Target="mailto:cmc_kroell@web.de" TargetMode="External"/><Relationship Id="rId4" Type="http://schemas.openxmlformats.org/officeDocument/2006/relationships/hyperlink" Target="mailto:cmc_kroell@web.de"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B34"/>
  <sheetViews>
    <sheetView tabSelected="1" zoomScaleNormal="100" zoomScaleSheetLayoutView="100" workbookViewId="0"/>
  </sheetViews>
  <sheetFormatPr baseColWidth="10" defaultColWidth="9.140625" defaultRowHeight="12.75"/>
  <cols>
    <col min="1" max="1" width="3.5703125" customWidth="1"/>
    <col min="2" max="2" width="73.5703125" customWidth="1"/>
  </cols>
  <sheetData>
    <row r="1" spans="1:2" ht="18">
      <c r="A1" s="1" t="str">
        <f>Deckblatt!C15</f>
        <v/>
      </c>
    </row>
    <row r="4" spans="1:2">
      <c r="B4" s="2" t="s">
        <v>127</v>
      </c>
    </row>
    <row r="5" spans="1:2" ht="6" customHeight="1">
      <c r="B5" s="2"/>
    </row>
    <row r="6" spans="1:2" ht="67.5">
      <c r="B6" s="145" t="s">
        <v>331</v>
      </c>
    </row>
    <row r="7" spans="1:2" ht="6" customHeight="1"/>
    <row r="8" spans="1:2" s="5" customFormat="1" ht="33.75">
      <c r="A8" s="3" t="s">
        <v>128</v>
      </c>
      <c r="B8" s="4" t="s">
        <v>609</v>
      </c>
    </row>
    <row r="9" spans="1:2" ht="45">
      <c r="B9" s="150" t="s">
        <v>41</v>
      </c>
    </row>
    <row r="10" spans="1:2" s="5" customFormat="1" ht="6" customHeight="1">
      <c r="A10" s="6"/>
      <c r="B10" s="7"/>
    </row>
    <row r="11" spans="1:2" s="5" customFormat="1" ht="22.5">
      <c r="A11" s="3"/>
      <c r="B11" s="4" t="s">
        <v>422</v>
      </c>
    </row>
    <row r="12" spans="1:2" s="5" customFormat="1" ht="6" customHeight="1">
      <c r="A12" s="6"/>
      <c r="B12" s="7"/>
    </row>
    <row r="13" spans="1:2" s="5" customFormat="1" ht="22.5">
      <c r="A13" s="3" t="s">
        <v>129</v>
      </c>
      <c r="B13" s="4" t="s">
        <v>610</v>
      </c>
    </row>
    <row r="14" spans="1:2" s="5" customFormat="1" ht="6" customHeight="1">
      <c r="B14" s="8"/>
    </row>
    <row r="15" spans="1:2" s="5" customFormat="1" ht="33.75">
      <c r="A15" s="3" t="s">
        <v>130</v>
      </c>
      <c r="B15" s="144" t="s">
        <v>332</v>
      </c>
    </row>
    <row r="16" spans="1:2" s="5" customFormat="1" ht="6" customHeight="1">
      <c r="B16" s="8"/>
    </row>
    <row r="17" spans="1:2" s="5" customFormat="1" ht="11.25">
      <c r="B17" s="8" t="s">
        <v>131</v>
      </c>
    </row>
    <row r="18" spans="1:2" s="5" customFormat="1" ht="11.25">
      <c r="B18" s="8" t="s">
        <v>132</v>
      </c>
    </row>
    <row r="19" spans="1:2" s="5" customFormat="1" ht="6" customHeight="1">
      <c r="B19" s="8"/>
    </row>
    <row r="20" spans="1:2" ht="47.25" customHeight="1">
      <c r="B20" s="9" t="s">
        <v>135</v>
      </c>
    </row>
    <row r="21" spans="1:2" ht="6" customHeight="1"/>
    <row r="22" spans="1:2" ht="22.5" customHeight="1">
      <c r="B22" s="10" t="str">
        <f>"Falls Sie Fragen zum Ausfüllen des Formulars haben, wenden Sie sich bitte per eMail an die auf dem Deckblatt angegebene E-Mail-Adressen"</f>
        <v>Falls Sie Fragen zum Ausfüllen des Formulars haben, wenden Sie sich bitte per eMail an die auf dem Deckblatt angegebene E-Mail-Adressen</v>
      </c>
    </row>
    <row r="23" spans="1:2" ht="6" customHeight="1">
      <c r="B23" s="10"/>
    </row>
    <row r="24" spans="1:2" ht="46.5" hidden="1" customHeight="1">
      <c r="B24" s="2" t="s">
        <v>155</v>
      </c>
    </row>
    <row r="25" spans="1:2" hidden="1">
      <c r="B25" s="2"/>
    </row>
    <row r="26" spans="1:2" ht="78.75">
      <c r="B26" s="2" t="s">
        <v>42</v>
      </c>
    </row>
    <row r="28" spans="1:2">
      <c r="A28" s="11" t="s">
        <v>133</v>
      </c>
      <c r="B28" s="12"/>
    </row>
    <row r="29" spans="1:2">
      <c r="A29" s="13"/>
      <c r="B29" s="12" t="s">
        <v>134</v>
      </c>
    </row>
    <row r="30" spans="1:2">
      <c r="A30" s="14"/>
      <c r="B30" s="12" t="s">
        <v>608</v>
      </c>
    </row>
    <row r="33" spans="2:2">
      <c r="B33" s="214">
        <v>43101</v>
      </c>
    </row>
    <row r="34" spans="2:2">
      <c r="B34" s="16" t="s">
        <v>517</v>
      </c>
    </row>
  </sheetData>
  <sheetProtection password="C04C" sheet="1" objects="1" scenarios="1" selectLockedCells="1"/>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3"/>
  <sheetViews>
    <sheetView workbookViewId="0"/>
  </sheetViews>
  <sheetFormatPr baseColWidth="10" defaultRowHeight="12.75"/>
  <cols>
    <col min="1" max="1" width="22.5703125" bestFit="1" customWidth="1"/>
    <col min="2" max="3" width="23" bestFit="1" customWidth="1"/>
    <col min="4" max="4" width="21.42578125" bestFit="1" customWidth="1"/>
    <col min="7" max="7" width="27.5703125" bestFit="1" customWidth="1"/>
    <col min="8" max="9" width="14.140625" bestFit="1" customWidth="1"/>
  </cols>
  <sheetData>
    <row r="1" spans="1:9" s="109" customFormat="1">
      <c r="A1" s="109" t="s">
        <v>62</v>
      </c>
      <c r="B1" s="109" t="s">
        <v>70</v>
      </c>
      <c r="C1" s="109" t="s">
        <v>71</v>
      </c>
      <c r="D1" s="109" t="s">
        <v>217</v>
      </c>
      <c r="E1" s="109" t="s">
        <v>218</v>
      </c>
      <c r="F1" s="109" t="s">
        <v>219</v>
      </c>
      <c r="G1" s="109" t="s">
        <v>72</v>
      </c>
      <c r="H1" s="109" t="s">
        <v>220</v>
      </c>
      <c r="I1" s="109" t="s">
        <v>73</v>
      </c>
    </row>
    <row r="2" spans="1:9">
      <c r="A2" t="s">
        <v>68</v>
      </c>
      <c r="B2" t="s">
        <v>74</v>
      </c>
      <c r="C2" t="s">
        <v>74</v>
      </c>
      <c r="D2" s="271" t="s">
        <v>518</v>
      </c>
      <c r="E2">
        <v>70372</v>
      </c>
      <c r="F2" t="s">
        <v>75</v>
      </c>
      <c r="G2" s="139" t="s">
        <v>519</v>
      </c>
      <c r="H2" t="s">
        <v>520</v>
      </c>
      <c r="I2" s="19" t="s">
        <v>76</v>
      </c>
    </row>
    <row r="3" spans="1:9">
      <c r="A3" t="s">
        <v>227</v>
      </c>
      <c r="B3" t="s">
        <v>227</v>
      </c>
      <c r="C3" t="s">
        <v>227</v>
      </c>
      <c r="D3" t="s">
        <v>290</v>
      </c>
      <c r="E3">
        <v>70372</v>
      </c>
      <c r="F3" t="s">
        <v>75</v>
      </c>
      <c r="G3" s="139" t="s">
        <v>291</v>
      </c>
      <c r="H3" t="s">
        <v>292</v>
      </c>
      <c r="I3" s="19" t="s">
        <v>293</v>
      </c>
    </row>
  </sheetData>
  <sheetProtection password="C04C" sheet="1" objects="1" scenarios="1"/>
  <phoneticPr fontId="3" type="noConversion"/>
  <hyperlinks>
    <hyperlink ref="G3" r:id="rId1"/>
    <hyperlink ref="G2" r:id="rId2"/>
  </hyperlinks>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C14"/>
  <sheetViews>
    <sheetView workbookViewId="0"/>
  </sheetViews>
  <sheetFormatPr baseColWidth="10" defaultRowHeight="12.75"/>
  <cols>
    <col min="1" max="1" width="18.85546875" bestFit="1" customWidth="1"/>
  </cols>
  <sheetData>
    <row r="1" spans="1:3">
      <c r="A1" s="109" t="s">
        <v>493</v>
      </c>
      <c r="C1" s="109" t="s">
        <v>492</v>
      </c>
    </row>
    <row r="2" spans="1:3">
      <c r="A2" t="s">
        <v>509</v>
      </c>
      <c r="C2" t="s">
        <v>509</v>
      </c>
    </row>
    <row r="3" spans="1:3">
      <c r="A3" t="s">
        <v>78</v>
      </c>
      <c r="C3" t="s">
        <v>77</v>
      </c>
    </row>
    <row r="4" spans="1:3">
      <c r="A4" t="s">
        <v>224</v>
      </c>
      <c r="C4" t="s">
        <v>78</v>
      </c>
    </row>
    <row r="5" spans="1:3">
      <c r="A5" t="s">
        <v>79</v>
      </c>
      <c r="C5" t="s">
        <v>224</v>
      </c>
    </row>
    <row r="6" spans="1:3">
      <c r="A6" t="s">
        <v>102</v>
      </c>
      <c r="C6" t="s">
        <v>79</v>
      </c>
    </row>
    <row r="7" spans="1:3">
      <c r="A7" t="s">
        <v>88</v>
      </c>
      <c r="C7" t="s">
        <v>86</v>
      </c>
    </row>
    <row r="8" spans="1:3">
      <c r="A8" t="s">
        <v>324</v>
      </c>
      <c r="C8" t="s">
        <v>87</v>
      </c>
    </row>
    <row r="9" spans="1:3">
      <c r="A9" t="s">
        <v>91</v>
      </c>
      <c r="C9" t="s">
        <v>88</v>
      </c>
    </row>
    <row r="10" spans="1:3">
      <c r="C10" t="s">
        <v>89</v>
      </c>
    </row>
    <row r="11" spans="1:3">
      <c r="C11" t="s">
        <v>324</v>
      </c>
    </row>
    <row r="12" spans="1:3">
      <c r="C12" t="s">
        <v>90</v>
      </c>
    </row>
    <row r="13" spans="1:3">
      <c r="C13" t="s">
        <v>91</v>
      </c>
    </row>
    <row r="14" spans="1:3">
      <c r="C14" t="s">
        <v>92</v>
      </c>
    </row>
  </sheetData>
  <sheetProtection password="C04C" sheet="1" objects="1" scenarios="1"/>
  <phoneticPr fontId="3" type="noConversion"/>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9"/>
  <sheetViews>
    <sheetView workbookViewId="0"/>
  </sheetViews>
  <sheetFormatPr baseColWidth="10" defaultRowHeight="12.75"/>
  <sheetData>
    <row r="1" spans="1:2">
      <c r="A1" s="120" t="s">
        <v>93</v>
      </c>
      <c r="B1" s="109" t="s">
        <v>94</v>
      </c>
    </row>
    <row r="2" spans="1:2">
      <c r="A2" s="66" t="s">
        <v>9</v>
      </c>
      <c r="B2" t="s">
        <v>10</v>
      </c>
    </row>
    <row r="3" spans="1:2">
      <c r="A3" s="66" t="s">
        <v>95</v>
      </c>
      <c r="B3" t="s">
        <v>96</v>
      </c>
    </row>
    <row r="4" spans="1:2">
      <c r="A4" s="66" t="s">
        <v>225</v>
      </c>
      <c r="B4" t="s">
        <v>97</v>
      </c>
    </row>
    <row r="5" spans="1:2">
      <c r="A5" s="66" t="s">
        <v>98</v>
      </c>
      <c r="B5" t="s">
        <v>8</v>
      </c>
    </row>
    <row r="6" spans="1:2">
      <c r="A6" s="66" t="s">
        <v>99</v>
      </c>
      <c r="B6" t="s">
        <v>251</v>
      </c>
    </row>
    <row r="7" spans="1:2">
      <c r="A7" s="66" t="s">
        <v>428</v>
      </c>
      <c r="B7" t="s">
        <v>429</v>
      </c>
    </row>
    <row r="8" spans="1:2">
      <c r="A8" s="66" t="s">
        <v>380</v>
      </c>
      <c r="B8" t="s">
        <v>145</v>
      </c>
    </row>
    <row r="9" spans="1:2">
      <c r="A9" s="66"/>
      <c r="B9" s="223" t="s">
        <v>288</v>
      </c>
    </row>
  </sheetData>
  <sheetProtection password="C04C" sheet="1" objects="1" scenarios="1"/>
  <phoneticPr fontId="3" type="noConversion"/>
  <pageMargins left="0.78740157499999996" right="0.78740157499999996" top="0.984251969" bottom="0.984251969" header="0.4921259845" footer="0.492125984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B1:H233"/>
  <sheetViews>
    <sheetView zoomScaleNormal="100" workbookViewId="0">
      <selection activeCell="G1" sqref="G1"/>
    </sheetView>
  </sheetViews>
  <sheetFormatPr baseColWidth="10" defaultColWidth="9.140625" defaultRowHeight="12.75"/>
  <cols>
    <col min="1" max="1" width="5.7109375" customWidth="1"/>
    <col min="2" max="6" width="3.7109375" hidden="1" customWidth="1"/>
    <col min="7" max="7" width="10.85546875" customWidth="1"/>
    <col min="8" max="8" width="16.85546875" customWidth="1"/>
  </cols>
  <sheetData>
    <row r="1" spans="2:8" s="109" customFormat="1">
      <c r="B1" s="109" t="s">
        <v>100</v>
      </c>
      <c r="C1" s="109" t="s">
        <v>101</v>
      </c>
      <c r="D1" s="109" t="s">
        <v>102</v>
      </c>
      <c r="E1" s="109" t="s">
        <v>103</v>
      </c>
      <c r="G1" s="109" t="s">
        <v>104</v>
      </c>
    </row>
    <row r="2" spans="2:8">
      <c r="B2" t="s">
        <v>105</v>
      </c>
      <c r="C2" t="s">
        <v>105</v>
      </c>
      <c r="D2" t="s">
        <v>105</v>
      </c>
      <c r="E2">
        <v>210</v>
      </c>
      <c r="G2" s="140" t="s">
        <v>106</v>
      </c>
      <c r="H2" s="141">
        <v>1</v>
      </c>
    </row>
    <row r="3" spans="2:8">
      <c r="B3" s="223" t="s">
        <v>507</v>
      </c>
      <c r="C3" t="s">
        <v>107</v>
      </c>
      <c r="D3" t="s">
        <v>107</v>
      </c>
      <c r="E3">
        <v>211</v>
      </c>
      <c r="G3" s="140" t="s">
        <v>108</v>
      </c>
      <c r="H3" s="141">
        <f ca="1">NOW()</f>
        <v>43109.441114120367</v>
      </c>
    </row>
    <row r="4" spans="2:8">
      <c r="C4" t="s">
        <v>109</v>
      </c>
      <c r="D4" t="s">
        <v>109</v>
      </c>
      <c r="E4">
        <v>212</v>
      </c>
    </row>
    <row r="5" spans="2:8">
      <c r="C5" t="s">
        <v>110</v>
      </c>
      <c r="D5" t="s">
        <v>110</v>
      </c>
      <c r="E5">
        <v>213</v>
      </c>
    </row>
    <row r="6" spans="2:8">
      <c r="C6" t="s">
        <v>111</v>
      </c>
      <c r="D6" t="s">
        <v>111</v>
      </c>
      <c r="E6">
        <v>214</v>
      </c>
      <c r="G6" s="109" t="s">
        <v>338</v>
      </c>
    </row>
    <row r="7" spans="2:8">
      <c r="C7" t="s">
        <v>112</v>
      </c>
      <c r="D7" t="s">
        <v>112</v>
      </c>
      <c r="E7">
        <v>215</v>
      </c>
      <c r="G7" s="66">
        <v>20</v>
      </c>
      <c r="H7" s="66" t="s">
        <v>430</v>
      </c>
    </row>
    <row r="8" spans="2:8">
      <c r="C8" t="s">
        <v>113</v>
      </c>
      <c r="D8" t="s">
        <v>113</v>
      </c>
      <c r="E8">
        <v>216</v>
      </c>
      <c r="G8" s="66">
        <v>21</v>
      </c>
      <c r="H8" s="66" t="s">
        <v>431</v>
      </c>
    </row>
    <row r="9" spans="2:8">
      <c r="C9" t="s">
        <v>114</v>
      </c>
      <c r="D9" t="s">
        <v>114</v>
      </c>
      <c r="E9">
        <v>217</v>
      </c>
      <c r="G9" s="66">
        <v>24</v>
      </c>
      <c r="H9" s="66" t="s">
        <v>432</v>
      </c>
    </row>
    <row r="10" spans="2:8">
      <c r="C10" t="s">
        <v>115</v>
      </c>
      <c r="D10" t="s">
        <v>115</v>
      </c>
      <c r="E10">
        <v>218</v>
      </c>
      <c r="G10" s="66">
        <v>25</v>
      </c>
      <c r="H10" s="66" t="s">
        <v>433</v>
      </c>
    </row>
    <row r="11" spans="2:8">
      <c r="C11" t="s">
        <v>116</v>
      </c>
      <c r="D11" t="s">
        <v>116</v>
      </c>
      <c r="E11">
        <v>219</v>
      </c>
      <c r="G11" s="66">
        <v>26</v>
      </c>
      <c r="H11" s="66" t="s">
        <v>434</v>
      </c>
    </row>
    <row r="12" spans="2:8">
      <c r="C12" t="s">
        <v>117</v>
      </c>
      <c r="E12">
        <v>220</v>
      </c>
      <c r="G12" s="66">
        <v>27</v>
      </c>
      <c r="H12" s="66" t="s">
        <v>435</v>
      </c>
    </row>
    <row r="13" spans="2:8">
      <c r="C13" t="s">
        <v>118</v>
      </c>
      <c r="E13">
        <v>221</v>
      </c>
      <c r="G13" s="66">
        <v>28</v>
      </c>
      <c r="H13" s="66" t="s">
        <v>339</v>
      </c>
    </row>
    <row r="14" spans="2:8">
      <c r="C14" t="s">
        <v>119</v>
      </c>
      <c r="E14">
        <v>222</v>
      </c>
      <c r="G14" s="66">
        <v>29</v>
      </c>
      <c r="H14" s="66" t="s">
        <v>340</v>
      </c>
    </row>
    <row r="15" spans="2:8">
      <c r="C15" t="s">
        <v>125</v>
      </c>
      <c r="E15">
        <v>228</v>
      </c>
      <c r="G15" s="66">
        <v>41</v>
      </c>
      <c r="H15" s="66" t="s">
        <v>346</v>
      </c>
    </row>
    <row r="16" spans="2:8">
      <c r="C16" t="s">
        <v>126</v>
      </c>
      <c r="E16">
        <v>229</v>
      </c>
      <c r="G16" s="66">
        <v>42</v>
      </c>
      <c r="H16" s="66" t="s">
        <v>348</v>
      </c>
    </row>
    <row r="17" spans="3:8">
      <c r="E17">
        <v>230</v>
      </c>
      <c r="G17" s="66">
        <v>43</v>
      </c>
      <c r="H17" s="66" t="s">
        <v>420</v>
      </c>
    </row>
    <row r="18" spans="3:8">
      <c r="E18">
        <v>231</v>
      </c>
      <c r="G18" s="66">
        <v>44</v>
      </c>
      <c r="H18" s="66" t="s">
        <v>347</v>
      </c>
    </row>
    <row r="19" spans="3:8">
      <c r="E19">
        <v>232</v>
      </c>
      <c r="G19" s="66">
        <v>63</v>
      </c>
      <c r="H19" s="66" t="s">
        <v>349</v>
      </c>
    </row>
    <row r="20" spans="3:8">
      <c r="E20">
        <v>235</v>
      </c>
      <c r="G20" s="66"/>
      <c r="H20" s="66"/>
    </row>
    <row r="21" spans="3:8">
      <c r="E21">
        <v>236</v>
      </c>
      <c r="G21" s="109" t="s">
        <v>575</v>
      </c>
      <c r="H21" s="66"/>
    </row>
    <row r="22" spans="3:8">
      <c r="C22" t="s">
        <v>120</v>
      </c>
      <c r="E22">
        <v>223</v>
      </c>
      <c r="G22" s="66">
        <v>35</v>
      </c>
      <c r="H22" s="66" t="s">
        <v>341</v>
      </c>
    </row>
    <row r="23" spans="3:8">
      <c r="C23" t="s">
        <v>121</v>
      </c>
      <c r="E23">
        <v>224</v>
      </c>
      <c r="G23" s="66">
        <v>36</v>
      </c>
      <c r="H23" s="66" t="s">
        <v>342</v>
      </c>
    </row>
    <row r="24" spans="3:8">
      <c r="C24" t="s">
        <v>122</v>
      </c>
      <c r="E24">
        <v>225</v>
      </c>
      <c r="G24" s="66">
        <v>37</v>
      </c>
      <c r="H24" s="66" t="s">
        <v>343</v>
      </c>
    </row>
    <row r="25" spans="3:8">
      <c r="C25" t="s">
        <v>123</v>
      </c>
      <c r="E25">
        <v>226</v>
      </c>
      <c r="G25" s="66">
        <v>38</v>
      </c>
      <c r="H25" s="66" t="s">
        <v>344</v>
      </c>
    </row>
    <row r="26" spans="3:8">
      <c r="C26" t="s">
        <v>124</v>
      </c>
      <c r="E26">
        <v>227</v>
      </c>
      <c r="G26" s="66">
        <v>39</v>
      </c>
      <c r="H26" s="66" t="s">
        <v>345</v>
      </c>
    </row>
    <row r="27" spans="3:8">
      <c r="G27" s="66"/>
      <c r="H27" s="66"/>
    </row>
    <row r="28" spans="3:8">
      <c r="E28">
        <v>233</v>
      </c>
      <c r="G28" s="66">
        <v>71</v>
      </c>
      <c r="H28" s="66" t="s">
        <v>512</v>
      </c>
    </row>
    <row r="29" spans="3:8">
      <c r="E29">
        <v>234</v>
      </c>
      <c r="G29" s="66">
        <v>72</v>
      </c>
      <c r="H29" s="66" t="s">
        <v>513</v>
      </c>
    </row>
    <row r="30" spans="3:8">
      <c r="E30">
        <v>237</v>
      </c>
      <c r="G30" s="66"/>
      <c r="H30" s="66"/>
    </row>
    <row r="31" spans="3:8">
      <c r="E31">
        <v>238</v>
      </c>
      <c r="G31" s="66"/>
      <c r="H31" s="66"/>
    </row>
    <row r="32" spans="3:8">
      <c r="E32">
        <v>239</v>
      </c>
      <c r="G32" s="66"/>
      <c r="H32" s="66"/>
    </row>
    <row r="33" spans="5:8">
      <c r="E33">
        <v>240</v>
      </c>
      <c r="G33" s="66"/>
      <c r="H33" s="66"/>
    </row>
    <row r="34" spans="5:8">
      <c r="E34">
        <v>241</v>
      </c>
      <c r="G34" s="66"/>
      <c r="H34" s="66"/>
    </row>
    <row r="35" spans="5:8">
      <c r="E35">
        <v>242</v>
      </c>
      <c r="G35" s="66"/>
      <c r="H35" s="66"/>
    </row>
    <row r="36" spans="5:8">
      <c r="E36">
        <v>243</v>
      </c>
      <c r="G36" s="66"/>
      <c r="H36" s="66"/>
    </row>
    <row r="37" spans="5:8">
      <c r="E37">
        <v>244</v>
      </c>
      <c r="G37" s="66"/>
      <c r="H37" s="66"/>
    </row>
    <row r="38" spans="5:8">
      <c r="E38">
        <v>245</v>
      </c>
      <c r="G38" s="66"/>
      <c r="H38" s="66"/>
    </row>
    <row r="39" spans="5:8">
      <c r="E39">
        <v>246</v>
      </c>
      <c r="G39" s="66"/>
      <c r="H39" s="66"/>
    </row>
    <row r="40" spans="5:8">
      <c r="E40">
        <v>247</v>
      </c>
      <c r="G40" s="66"/>
      <c r="H40" s="66"/>
    </row>
    <row r="41" spans="5:8">
      <c r="E41">
        <v>248</v>
      </c>
      <c r="G41" s="66"/>
      <c r="H41" s="66"/>
    </row>
    <row r="42" spans="5:8">
      <c r="E42">
        <v>249</v>
      </c>
      <c r="G42" s="66"/>
      <c r="H42" s="66"/>
    </row>
    <row r="43" spans="5:8">
      <c r="E43">
        <v>250</v>
      </c>
      <c r="G43" s="66"/>
      <c r="H43" s="66"/>
    </row>
    <row r="44" spans="5:8">
      <c r="E44">
        <v>251</v>
      </c>
      <c r="G44" s="66"/>
      <c r="H44" s="66"/>
    </row>
    <row r="45" spans="5:8">
      <c r="E45">
        <v>252</v>
      </c>
      <c r="G45" s="66"/>
      <c r="H45" s="66"/>
    </row>
    <row r="46" spans="5:8">
      <c r="E46">
        <v>253</v>
      </c>
      <c r="G46" s="66"/>
      <c r="H46" s="66"/>
    </row>
    <row r="47" spans="5:8">
      <c r="E47">
        <v>254</v>
      </c>
      <c r="G47" s="66"/>
      <c r="H47" s="66"/>
    </row>
    <row r="48" spans="5:8">
      <c r="E48">
        <v>255</v>
      </c>
      <c r="G48" s="66"/>
      <c r="H48" s="66"/>
    </row>
    <row r="49" spans="5:8">
      <c r="E49">
        <v>256</v>
      </c>
      <c r="G49" s="66"/>
      <c r="H49" s="66"/>
    </row>
    <row r="50" spans="5:8">
      <c r="E50">
        <v>257</v>
      </c>
      <c r="G50" s="66"/>
      <c r="H50" s="66"/>
    </row>
    <row r="51" spans="5:8">
      <c r="E51">
        <v>258</v>
      </c>
      <c r="G51" s="66"/>
      <c r="H51" s="66"/>
    </row>
    <row r="52" spans="5:8">
      <c r="E52">
        <v>259</v>
      </c>
      <c r="G52" s="66"/>
      <c r="H52" s="66"/>
    </row>
    <row r="53" spans="5:8">
      <c r="E53">
        <v>260</v>
      </c>
      <c r="G53" s="66"/>
      <c r="H53" s="66"/>
    </row>
    <row r="54" spans="5:8">
      <c r="E54">
        <v>261</v>
      </c>
      <c r="G54" s="66"/>
      <c r="H54" s="66"/>
    </row>
    <row r="55" spans="5:8">
      <c r="E55">
        <v>262</v>
      </c>
      <c r="G55" s="66"/>
      <c r="H55" s="66"/>
    </row>
    <row r="56" spans="5:8">
      <c r="E56">
        <v>263</v>
      </c>
      <c r="G56" s="66"/>
      <c r="H56" s="66"/>
    </row>
    <row r="57" spans="5:8">
      <c r="E57">
        <v>264</v>
      </c>
      <c r="G57" s="66"/>
      <c r="H57" s="66"/>
    </row>
    <row r="58" spans="5:8">
      <c r="E58">
        <v>265</v>
      </c>
      <c r="G58" s="66"/>
      <c r="H58" s="66"/>
    </row>
    <row r="59" spans="5:8">
      <c r="E59">
        <v>266</v>
      </c>
      <c r="G59" s="66"/>
      <c r="H59" s="66"/>
    </row>
    <row r="60" spans="5:8">
      <c r="E60">
        <v>267</v>
      </c>
      <c r="G60" s="66"/>
      <c r="H60" s="66"/>
    </row>
    <row r="61" spans="5:8">
      <c r="E61">
        <v>268</v>
      </c>
      <c r="G61" s="66"/>
      <c r="H61" s="66"/>
    </row>
    <row r="62" spans="5:8">
      <c r="E62">
        <v>269</v>
      </c>
      <c r="G62" s="66"/>
      <c r="H62" s="66"/>
    </row>
    <row r="63" spans="5:8">
      <c r="E63">
        <v>270</v>
      </c>
      <c r="G63" s="66"/>
      <c r="H63" s="66"/>
    </row>
    <row r="64" spans="5:8">
      <c r="E64">
        <v>271</v>
      </c>
      <c r="G64" s="66"/>
      <c r="H64" s="66"/>
    </row>
    <row r="65" spans="5:8">
      <c r="E65">
        <v>272</v>
      </c>
      <c r="G65" s="66"/>
      <c r="H65" s="66"/>
    </row>
    <row r="66" spans="5:8">
      <c r="E66">
        <v>273</v>
      </c>
      <c r="G66" s="66"/>
      <c r="H66" s="66"/>
    </row>
    <row r="67" spans="5:8">
      <c r="E67">
        <v>274</v>
      </c>
      <c r="G67" s="66"/>
      <c r="H67" s="66"/>
    </row>
    <row r="68" spans="5:8">
      <c r="E68">
        <v>275</v>
      </c>
      <c r="G68" s="66"/>
      <c r="H68" s="66"/>
    </row>
    <row r="69" spans="5:8">
      <c r="E69">
        <v>276</v>
      </c>
      <c r="G69" s="66"/>
      <c r="H69" s="66"/>
    </row>
    <row r="70" spans="5:8">
      <c r="E70">
        <v>277</v>
      </c>
      <c r="G70" s="66"/>
      <c r="H70" s="66"/>
    </row>
    <row r="71" spans="5:8">
      <c r="E71">
        <v>278</v>
      </c>
      <c r="G71" s="66"/>
      <c r="H71" s="66"/>
    </row>
    <row r="72" spans="5:8">
      <c r="E72">
        <v>279</v>
      </c>
      <c r="G72" s="66"/>
      <c r="H72" s="66"/>
    </row>
    <row r="73" spans="5:8">
      <c r="E73">
        <v>280</v>
      </c>
      <c r="G73" s="66"/>
      <c r="H73" s="66"/>
    </row>
    <row r="74" spans="5:8">
      <c r="E74">
        <v>281</v>
      </c>
      <c r="G74" s="66"/>
      <c r="H74" s="66"/>
    </row>
    <row r="75" spans="5:8">
      <c r="E75">
        <v>282</v>
      </c>
      <c r="G75" s="66"/>
      <c r="H75" s="66"/>
    </row>
    <row r="76" spans="5:8">
      <c r="E76">
        <v>283</v>
      </c>
      <c r="G76" s="66"/>
      <c r="H76" s="66"/>
    </row>
    <row r="77" spans="5:8">
      <c r="E77">
        <v>284</v>
      </c>
      <c r="G77" s="66"/>
      <c r="H77" s="66"/>
    </row>
    <row r="78" spans="5:8">
      <c r="E78">
        <v>285</v>
      </c>
      <c r="G78" s="66"/>
      <c r="H78" s="66"/>
    </row>
    <row r="79" spans="5:8">
      <c r="E79">
        <v>286</v>
      </c>
      <c r="G79" s="66"/>
      <c r="H79" s="66"/>
    </row>
    <row r="80" spans="5:8">
      <c r="E80">
        <v>287</v>
      </c>
      <c r="G80" s="66"/>
      <c r="H80" s="66"/>
    </row>
    <row r="81" spans="5:8">
      <c r="E81">
        <v>288</v>
      </c>
      <c r="G81" s="66"/>
      <c r="H81" s="66"/>
    </row>
    <row r="82" spans="5:8">
      <c r="E82">
        <v>289</v>
      </c>
      <c r="G82" s="66"/>
      <c r="H82" s="66"/>
    </row>
    <row r="83" spans="5:8">
      <c r="E83">
        <v>290</v>
      </c>
      <c r="G83" s="66"/>
      <c r="H83" s="66"/>
    </row>
    <row r="84" spans="5:8">
      <c r="E84">
        <v>291</v>
      </c>
      <c r="G84" s="66"/>
      <c r="H84" s="66"/>
    </row>
    <row r="85" spans="5:8">
      <c r="E85">
        <v>292</v>
      </c>
      <c r="G85" s="66"/>
      <c r="H85" s="66"/>
    </row>
    <row r="86" spans="5:8">
      <c r="E86">
        <v>293</v>
      </c>
      <c r="G86" s="66"/>
      <c r="H86" s="66"/>
    </row>
    <row r="87" spans="5:8">
      <c r="E87">
        <v>294</v>
      </c>
      <c r="G87" s="66"/>
      <c r="H87" s="66"/>
    </row>
    <row r="88" spans="5:8">
      <c r="E88">
        <v>295</v>
      </c>
      <c r="G88" s="66"/>
      <c r="H88" s="66"/>
    </row>
    <row r="89" spans="5:8">
      <c r="E89">
        <v>296</v>
      </c>
      <c r="G89" s="66"/>
      <c r="H89" s="66"/>
    </row>
    <row r="90" spans="5:8">
      <c r="E90">
        <v>297</v>
      </c>
      <c r="G90" s="66"/>
      <c r="H90" s="66"/>
    </row>
    <row r="91" spans="5:8">
      <c r="E91">
        <v>298</v>
      </c>
      <c r="G91" s="66"/>
      <c r="H91" s="66"/>
    </row>
    <row r="92" spans="5:8">
      <c r="E92">
        <v>299</v>
      </c>
      <c r="G92" s="66"/>
      <c r="H92" s="66"/>
    </row>
    <row r="93" spans="5:8">
      <c r="G93" s="66"/>
      <c r="H93" s="66"/>
    </row>
    <row r="94" spans="5:8">
      <c r="G94" s="66"/>
      <c r="H94" s="66"/>
    </row>
    <row r="95" spans="5:8">
      <c r="G95" s="66"/>
      <c r="H95" s="66"/>
    </row>
    <row r="96" spans="5:8">
      <c r="G96" s="66"/>
      <c r="H96" s="66"/>
    </row>
    <row r="97" spans="7:8">
      <c r="G97" s="66"/>
      <c r="H97" s="66"/>
    </row>
    <row r="98" spans="7:8">
      <c r="G98" s="66"/>
      <c r="H98" s="66"/>
    </row>
    <row r="99" spans="7:8">
      <c r="G99" s="66"/>
      <c r="H99" s="66"/>
    </row>
    <row r="100" spans="7:8">
      <c r="G100" s="66"/>
      <c r="H100" s="66"/>
    </row>
    <row r="101" spans="7:8">
      <c r="G101" s="66"/>
      <c r="H101" s="66"/>
    </row>
    <row r="102" spans="7:8">
      <c r="G102" s="66"/>
      <c r="H102" s="66"/>
    </row>
    <row r="103" spans="7:8">
      <c r="G103" s="66"/>
      <c r="H103" s="66"/>
    </row>
    <row r="104" spans="7:8">
      <c r="G104" s="66"/>
      <c r="H104" s="66"/>
    </row>
    <row r="105" spans="7:8">
      <c r="G105" s="66"/>
      <c r="H105" s="66"/>
    </row>
    <row r="106" spans="7:8">
      <c r="G106" s="66"/>
      <c r="H106" s="66"/>
    </row>
    <row r="107" spans="7:8">
      <c r="G107" s="66"/>
      <c r="H107" s="66"/>
    </row>
    <row r="108" spans="7:8">
      <c r="G108" s="66"/>
      <c r="H108" s="66"/>
    </row>
    <row r="109" spans="7:8">
      <c r="G109" s="66"/>
      <c r="H109" s="66"/>
    </row>
    <row r="110" spans="7:8">
      <c r="G110" s="66"/>
      <c r="H110" s="66"/>
    </row>
    <row r="111" spans="7:8">
      <c r="G111" s="66"/>
      <c r="H111" s="66"/>
    </row>
    <row r="112" spans="7:8">
      <c r="G112" s="66"/>
      <c r="H112" s="66"/>
    </row>
    <row r="113" spans="7:8">
      <c r="G113" s="66"/>
      <c r="H113" s="66"/>
    </row>
    <row r="114" spans="7:8">
      <c r="G114" s="66"/>
      <c r="H114" s="66"/>
    </row>
    <row r="115" spans="7:8">
      <c r="G115" s="66"/>
      <c r="H115" s="66"/>
    </row>
    <row r="116" spans="7:8">
      <c r="G116" s="66"/>
      <c r="H116" s="66"/>
    </row>
    <row r="117" spans="7:8">
      <c r="G117" s="66"/>
      <c r="H117" s="66"/>
    </row>
    <row r="118" spans="7:8">
      <c r="G118" s="66"/>
      <c r="H118" s="66"/>
    </row>
    <row r="119" spans="7:8">
      <c r="G119" s="66"/>
      <c r="H119" s="66"/>
    </row>
    <row r="120" spans="7:8">
      <c r="G120" s="66"/>
      <c r="H120" s="66"/>
    </row>
    <row r="121" spans="7:8">
      <c r="G121" s="66"/>
      <c r="H121" s="66"/>
    </row>
    <row r="122" spans="7:8">
      <c r="G122" s="66"/>
      <c r="H122" s="66"/>
    </row>
    <row r="123" spans="7:8">
      <c r="G123" s="66"/>
      <c r="H123" s="66"/>
    </row>
    <row r="124" spans="7:8">
      <c r="G124" s="66"/>
      <c r="H124" s="66"/>
    </row>
    <row r="125" spans="7:8">
      <c r="G125" s="66"/>
      <c r="H125" s="66"/>
    </row>
    <row r="126" spans="7:8">
      <c r="G126" s="66"/>
      <c r="H126" s="66"/>
    </row>
    <row r="127" spans="7:8">
      <c r="G127" s="66"/>
      <c r="H127" s="66"/>
    </row>
    <row r="128" spans="7:8">
      <c r="G128" s="66"/>
      <c r="H128" s="66"/>
    </row>
    <row r="129" spans="7:8">
      <c r="G129" s="66"/>
      <c r="H129" s="66"/>
    </row>
    <row r="130" spans="7:8">
      <c r="G130" s="66"/>
      <c r="H130" s="66"/>
    </row>
    <row r="131" spans="7:8">
      <c r="G131" s="66"/>
      <c r="H131" s="66"/>
    </row>
    <row r="132" spans="7:8">
      <c r="G132" s="66"/>
      <c r="H132" s="66"/>
    </row>
    <row r="133" spans="7:8">
      <c r="G133" s="66"/>
      <c r="H133" s="66"/>
    </row>
    <row r="134" spans="7:8">
      <c r="G134" s="66"/>
      <c r="H134" s="66"/>
    </row>
    <row r="135" spans="7:8">
      <c r="G135" s="66"/>
      <c r="H135" s="66"/>
    </row>
    <row r="136" spans="7:8">
      <c r="G136" s="66"/>
      <c r="H136" s="66"/>
    </row>
    <row r="137" spans="7:8">
      <c r="G137" s="66"/>
      <c r="H137" s="66"/>
    </row>
    <row r="138" spans="7:8">
      <c r="G138" s="66"/>
      <c r="H138" s="66"/>
    </row>
    <row r="139" spans="7:8">
      <c r="G139" s="66"/>
      <c r="H139" s="66"/>
    </row>
    <row r="140" spans="7:8">
      <c r="G140" s="66"/>
      <c r="H140" s="66"/>
    </row>
    <row r="141" spans="7:8">
      <c r="G141" s="66"/>
      <c r="H141" s="66"/>
    </row>
    <row r="142" spans="7:8">
      <c r="G142" s="66"/>
      <c r="H142" s="66"/>
    </row>
    <row r="143" spans="7:8">
      <c r="G143" s="66"/>
      <c r="H143" s="66"/>
    </row>
    <row r="144" spans="7:8">
      <c r="G144" s="66"/>
      <c r="H144" s="66"/>
    </row>
    <row r="145" spans="7:8">
      <c r="G145" s="66"/>
      <c r="H145" s="66"/>
    </row>
    <row r="146" spans="7:8">
      <c r="G146" s="66"/>
      <c r="H146" s="66"/>
    </row>
    <row r="147" spans="7:8">
      <c r="G147" s="66"/>
      <c r="H147" s="66"/>
    </row>
    <row r="148" spans="7:8">
      <c r="G148" s="66"/>
      <c r="H148" s="66"/>
    </row>
    <row r="149" spans="7:8">
      <c r="G149" s="66"/>
      <c r="H149" s="66"/>
    </row>
    <row r="150" spans="7:8">
      <c r="G150" s="66"/>
      <c r="H150" s="66"/>
    </row>
    <row r="151" spans="7:8">
      <c r="G151" s="66"/>
      <c r="H151" s="66"/>
    </row>
    <row r="152" spans="7:8">
      <c r="G152" s="66"/>
      <c r="H152" s="66"/>
    </row>
    <row r="153" spans="7:8">
      <c r="G153" s="66"/>
      <c r="H153" s="66"/>
    </row>
    <row r="154" spans="7:8">
      <c r="G154" s="66"/>
      <c r="H154" s="66"/>
    </row>
    <row r="155" spans="7:8">
      <c r="G155" s="66"/>
      <c r="H155" s="66"/>
    </row>
    <row r="156" spans="7:8">
      <c r="G156" s="66"/>
      <c r="H156" s="66"/>
    </row>
    <row r="157" spans="7:8">
      <c r="G157" s="66"/>
      <c r="H157" s="66"/>
    </row>
    <row r="158" spans="7:8">
      <c r="G158" s="66"/>
      <c r="H158" s="66"/>
    </row>
    <row r="159" spans="7:8">
      <c r="G159" s="66"/>
      <c r="H159" s="66"/>
    </row>
    <row r="160" spans="7:8">
      <c r="G160" s="66"/>
      <c r="H160" s="66"/>
    </row>
    <row r="161" spans="7:8">
      <c r="G161" s="66"/>
      <c r="H161" s="66"/>
    </row>
    <row r="162" spans="7:8">
      <c r="G162" s="66"/>
      <c r="H162" s="66"/>
    </row>
    <row r="163" spans="7:8">
      <c r="G163" s="66"/>
      <c r="H163" s="66"/>
    </row>
    <row r="164" spans="7:8">
      <c r="G164" s="66"/>
      <c r="H164" s="66"/>
    </row>
    <row r="165" spans="7:8">
      <c r="G165" s="66"/>
      <c r="H165" s="66"/>
    </row>
    <row r="166" spans="7:8">
      <c r="G166" s="66"/>
      <c r="H166" s="66"/>
    </row>
    <row r="167" spans="7:8">
      <c r="G167" s="66"/>
      <c r="H167" s="66"/>
    </row>
    <row r="168" spans="7:8">
      <c r="G168" s="66"/>
      <c r="H168" s="66"/>
    </row>
    <row r="169" spans="7:8">
      <c r="G169" s="66"/>
      <c r="H169" s="66"/>
    </row>
    <row r="170" spans="7:8">
      <c r="G170" s="66"/>
      <c r="H170" s="66"/>
    </row>
    <row r="171" spans="7:8">
      <c r="G171" s="66"/>
      <c r="H171" s="66"/>
    </row>
    <row r="172" spans="7:8">
      <c r="G172" s="66"/>
      <c r="H172" s="66"/>
    </row>
    <row r="173" spans="7:8">
      <c r="G173" s="66"/>
      <c r="H173" s="66"/>
    </row>
    <row r="174" spans="7:8">
      <c r="G174" s="66"/>
      <c r="H174" s="66"/>
    </row>
    <row r="175" spans="7:8">
      <c r="G175" s="66"/>
      <c r="H175" s="66"/>
    </row>
    <row r="176" spans="7:8">
      <c r="G176" s="66"/>
      <c r="H176" s="66"/>
    </row>
    <row r="177" spans="7:8">
      <c r="G177" s="66"/>
      <c r="H177" s="66"/>
    </row>
    <row r="178" spans="7:8">
      <c r="G178" s="66"/>
      <c r="H178" s="66"/>
    </row>
    <row r="179" spans="7:8">
      <c r="G179" s="66"/>
      <c r="H179" s="66"/>
    </row>
    <row r="180" spans="7:8">
      <c r="G180" s="66"/>
      <c r="H180" s="66"/>
    </row>
    <row r="181" spans="7:8">
      <c r="G181" s="66"/>
      <c r="H181" s="66"/>
    </row>
    <row r="182" spans="7:8">
      <c r="G182" s="66"/>
      <c r="H182" s="66"/>
    </row>
    <row r="183" spans="7:8">
      <c r="G183" s="66"/>
      <c r="H183" s="66"/>
    </row>
    <row r="184" spans="7:8">
      <c r="G184" s="66"/>
      <c r="H184" s="66"/>
    </row>
    <row r="185" spans="7:8">
      <c r="G185" s="66"/>
      <c r="H185" s="66"/>
    </row>
    <row r="186" spans="7:8">
      <c r="G186" s="66"/>
      <c r="H186" s="66"/>
    </row>
    <row r="187" spans="7:8">
      <c r="G187" s="66"/>
      <c r="H187" s="66"/>
    </row>
    <row r="188" spans="7:8">
      <c r="G188" s="66"/>
      <c r="H188" s="66"/>
    </row>
    <row r="189" spans="7:8">
      <c r="G189" s="66"/>
      <c r="H189" s="66"/>
    </row>
    <row r="190" spans="7:8">
      <c r="G190" s="66"/>
      <c r="H190" s="66"/>
    </row>
    <row r="191" spans="7:8">
      <c r="G191" s="66"/>
      <c r="H191" s="66"/>
    </row>
    <row r="192" spans="7:8">
      <c r="G192" s="66"/>
      <c r="H192" s="66"/>
    </row>
    <row r="193" spans="7:8">
      <c r="G193" s="66"/>
      <c r="H193" s="66"/>
    </row>
    <row r="194" spans="7:8">
      <c r="G194" s="66"/>
      <c r="H194" s="66"/>
    </row>
    <row r="195" spans="7:8">
      <c r="G195" s="66"/>
      <c r="H195" s="66"/>
    </row>
    <row r="196" spans="7:8">
      <c r="G196" s="66"/>
      <c r="H196" s="66"/>
    </row>
    <row r="197" spans="7:8">
      <c r="G197" s="66"/>
      <c r="H197" s="66"/>
    </row>
    <row r="198" spans="7:8">
      <c r="G198" s="66"/>
      <c r="H198" s="66"/>
    </row>
    <row r="199" spans="7:8">
      <c r="G199" s="66"/>
      <c r="H199" s="66"/>
    </row>
    <row r="200" spans="7:8">
      <c r="G200" s="66"/>
      <c r="H200" s="66"/>
    </row>
    <row r="201" spans="7:8">
      <c r="G201" s="66"/>
      <c r="H201" s="66"/>
    </row>
    <row r="202" spans="7:8">
      <c r="G202" s="66"/>
      <c r="H202" s="66"/>
    </row>
    <row r="203" spans="7:8">
      <c r="G203" s="66"/>
      <c r="H203" s="66"/>
    </row>
    <row r="204" spans="7:8">
      <c r="G204" s="66"/>
      <c r="H204" s="66"/>
    </row>
    <row r="205" spans="7:8">
      <c r="G205" s="66"/>
      <c r="H205" s="66"/>
    </row>
    <row r="206" spans="7:8">
      <c r="G206" s="66"/>
      <c r="H206" s="66"/>
    </row>
    <row r="207" spans="7:8">
      <c r="G207" s="66"/>
      <c r="H207" s="66"/>
    </row>
    <row r="208" spans="7:8">
      <c r="G208" s="66"/>
      <c r="H208" s="66"/>
    </row>
    <row r="209" spans="7:8">
      <c r="G209" s="66"/>
      <c r="H209" s="66"/>
    </row>
    <row r="210" spans="7:8">
      <c r="G210" s="66"/>
      <c r="H210" s="66"/>
    </row>
    <row r="211" spans="7:8">
      <c r="G211" s="66"/>
      <c r="H211" s="66"/>
    </row>
    <row r="212" spans="7:8">
      <c r="G212" s="66"/>
      <c r="H212" s="66"/>
    </row>
    <row r="213" spans="7:8">
      <c r="G213" s="66"/>
      <c r="H213" s="66"/>
    </row>
    <row r="214" spans="7:8">
      <c r="G214" s="66"/>
      <c r="H214" s="66"/>
    </row>
    <row r="215" spans="7:8">
      <c r="G215" s="66"/>
      <c r="H215" s="66"/>
    </row>
    <row r="216" spans="7:8">
      <c r="G216" s="66"/>
      <c r="H216" s="66"/>
    </row>
    <row r="217" spans="7:8">
      <c r="G217" s="66"/>
      <c r="H217" s="66"/>
    </row>
    <row r="218" spans="7:8">
      <c r="G218" s="66"/>
      <c r="H218" s="66"/>
    </row>
    <row r="219" spans="7:8">
      <c r="G219" s="66"/>
      <c r="H219" s="66"/>
    </row>
    <row r="220" spans="7:8">
      <c r="G220" s="66"/>
      <c r="H220" s="66"/>
    </row>
    <row r="221" spans="7:8">
      <c r="G221" s="66"/>
      <c r="H221" s="66"/>
    </row>
    <row r="222" spans="7:8">
      <c r="G222" s="66"/>
      <c r="H222" s="66"/>
    </row>
    <row r="223" spans="7:8">
      <c r="G223" s="66"/>
      <c r="H223" s="66"/>
    </row>
    <row r="224" spans="7:8">
      <c r="G224" s="66"/>
      <c r="H224" s="66"/>
    </row>
    <row r="225" spans="7:8">
      <c r="G225" s="66"/>
      <c r="H225" s="66"/>
    </row>
    <row r="226" spans="7:8">
      <c r="G226" s="66"/>
      <c r="H226" s="66"/>
    </row>
    <row r="227" spans="7:8">
      <c r="G227" s="66"/>
      <c r="H227" s="66"/>
    </row>
    <row r="228" spans="7:8">
      <c r="G228" s="66"/>
      <c r="H228" s="66"/>
    </row>
    <row r="229" spans="7:8">
      <c r="G229" s="66"/>
      <c r="H229" s="66"/>
    </row>
    <row r="230" spans="7:8">
      <c r="G230" s="66"/>
      <c r="H230" s="66"/>
    </row>
    <row r="231" spans="7:8">
      <c r="G231" s="66"/>
      <c r="H231" s="66"/>
    </row>
    <row r="232" spans="7:8">
      <c r="G232" s="66"/>
      <c r="H232" s="66"/>
    </row>
    <row r="233" spans="7:8">
      <c r="G233" s="66"/>
      <c r="H233" s="66"/>
    </row>
  </sheetData>
  <sheetProtection password="C04C" sheet="1" objects="1" scenarios="1"/>
  <phoneticPr fontId="3" type="noConversion"/>
  <pageMargins left="0.78740157499999996" right="0.78740157499999996" top="0.984251969" bottom="0.984251969" header="0.4921259845" footer="0.4921259845"/>
  <pageSetup paperSize="9" orientation="portrait" horizontalDpi="4294967294"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E92"/>
  <sheetViews>
    <sheetView zoomScaleNormal="100" zoomScaleSheetLayoutView="100" workbookViewId="0">
      <selection activeCell="C14" sqref="C14"/>
    </sheetView>
  </sheetViews>
  <sheetFormatPr baseColWidth="10" defaultRowHeight="12.75"/>
  <cols>
    <col min="1" max="1" width="7.140625" customWidth="1"/>
    <col min="2" max="2" width="16.7109375" style="16" customWidth="1"/>
    <col min="3" max="3" width="78.28515625" customWidth="1"/>
    <col min="4" max="4" width="8.5703125" customWidth="1"/>
  </cols>
  <sheetData>
    <row r="1" spans="1:4" ht="18">
      <c r="A1" s="15" t="s">
        <v>148</v>
      </c>
    </row>
    <row r="2" spans="1:4" s="17" customFormat="1">
      <c r="B2" s="18"/>
    </row>
    <row r="3" spans="1:4" s="17" customFormat="1">
      <c r="B3" s="18"/>
    </row>
    <row r="4" spans="1:4" s="17" customFormat="1">
      <c r="B4" s="19" t="s">
        <v>156</v>
      </c>
      <c r="D4" s="18" t="s">
        <v>546</v>
      </c>
    </row>
    <row r="5" spans="1:4" s="17" customFormat="1">
      <c r="B5" s="19" t="str">
        <f>IF(ISBLANK(C14),"",LOOKUP(C14,Veranstaltungsliste,Veranstaltungen!K2:K8))</f>
        <v/>
      </c>
      <c r="D5" s="298" t="s">
        <v>656</v>
      </c>
    </row>
    <row r="6" spans="1:4" s="17" customFormat="1">
      <c r="B6" s="19" t="str">
        <f>IF(ISBLANK(C14),"",LOOKUP(C14,Veranstaltungsliste,Veranstaltungen!L2:L8))</f>
        <v/>
      </c>
    </row>
    <row r="7" spans="1:4" s="17" customFormat="1">
      <c r="B7" s="19" t="str">
        <f>IF(ISBLANK(C14),"",LOOKUP(C14,Veranstaltungsliste,Veranstaltungen!M2:M8) &amp; " " &amp; LOOKUP(C14,Veranstaltungsliste,Veranstaltungen!N2:N8))</f>
        <v/>
      </c>
    </row>
    <row r="8" spans="1:4" s="17" customFormat="1">
      <c r="B8" s="20"/>
    </row>
    <row r="9" spans="1:4" s="17" customFormat="1">
      <c r="A9" s="17" t="s">
        <v>157</v>
      </c>
      <c r="B9" s="21" t="str">
        <f>IF(ISBLANK(C14),"",LOOKUP(C14,Veranstaltungsliste,Veranstaltungen!O2:O8))</f>
        <v/>
      </c>
    </row>
    <row r="10" spans="1:4" s="17" customFormat="1">
      <c r="A10" s="18" t="s">
        <v>233</v>
      </c>
      <c r="B10" s="21" t="str">
        <f>IF(ISBLANK(C14),"",LOOKUP(C14,Veranstaltungsliste,Veranstaltungen!P2:P8))</f>
        <v/>
      </c>
    </row>
    <row r="11" spans="1:4" s="17" customFormat="1" hidden="1">
      <c r="A11" s="18" t="s">
        <v>158</v>
      </c>
      <c r="B11" s="19" t="str">
        <f>IF(ISBLANK(C14),"",LOOKUP(C14,Veranstaltungsliste,Veranstaltungen!Q2:Q8))</f>
        <v/>
      </c>
    </row>
    <row r="12" spans="1:4" s="17" customFormat="1">
      <c r="B12" s="18"/>
    </row>
    <row r="13" spans="1:4">
      <c r="A13" s="22" t="s">
        <v>159</v>
      </c>
      <c r="B13" s="23"/>
      <c r="C13" s="24" t="str">
        <f>IF(ISBLANK(C14),"Wählen Sie hier die Veranstaltung (Wettkampf) aus:","")</f>
        <v>Wählen Sie hier die Veranstaltung (Wettkampf) aus:</v>
      </c>
      <c r="D13" s="25"/>
    </row>
    <row r="14" spans="1:4">
      <c r="A14" s="25"/>
      <c r="B14" s="23" t="s">
        <v>160</v>
      </c>
      <c r="C14" s="26"/>
      <c r="D14" s="25"/>
    </row>
    <row r="15" spans="1:4">
      <c r="A15" s="25"/>
      <c r="B15" s="23" t="s">
        <v>161</v>
      </c>
      <c r="C15" s="27" t="str">
        <f>IF(ISTEXT(C14),LOOKUP(C14,Veranstaltungsliste,Veranstaltungen!C2:C8),"")</f>
        <v/>
      </c>
      <c r="D15" s="25"/>
    </row>
    <row r="16" spans="1:4">
      <c r="A16" s="25"/>
      <c r="B16" s="23" t="s">
        <v>162</v>
      </c>
      <c r="C16" s="27" t="str">
        <f>IF(ISTEXT(C14),LOOKUP(C14,Veranstaltungsliste,Veranstaltungen!D2:D8),"")</f>
        <v/>
      </c>
      <c r="D16" s="25"/>
    </row>
    <row r="17" spans="1:5">
      <c r="A17" s="25"/>
      <c r="B17" s="23" t="s">
        <v>163</v>
      </c>
      <c r="C17" s="27" t="str">
        <f>IF(ISTEXT(C14),LOOKUP(C14,Veranstaltungsliste,Veranstaltungen!E2:E8),"")</f>
        <v/>
      </c>
      <c r="D17" s="25"/>
    </row>
    <row r="18" spans="1:5">
      <c r="A18" s="25"/>
      <c r="B18" s="23" t="s">
        <v>164</v>
      </c>
      <c r="C18" s="28" t="str">
        <f>IF(ISTEXT(C14),LOOKUP(C14,Veranstaltungsliste,Veranstaltungen!F2:F8),"")</f>
        <v/>
      </c>
      <c r="D18" s="25"/>
    </row>
    <row r="19" spans="1:5">
      <c r="A19" s="25"/>
      <c r="B19" s="23" t="s">
        <v>165</v>
      </c>
      <c r="C19" s="28" t="str">
        <f>IF(ISTEXT(C14),LOOKUP(C14,Veranstaltungsliste,Veranstaltungen!I2:I8),"")</f>
        <v/>
      </c>
      <c r="D19" s="29"/>
    </row>
    <row r="20" spans="1:5">
      <c r="A20" s="25"/>
      <c r="B20" s="23" t="s">
        <v>166</v>
      </c>
      <c r="C20" s="27" t="str">
        <f>IF(ISTEXT(C14),LOOKUP(C14,Veranstaltungsliste,Veranstaltungen!G2:G8),"")</f>
        <v/>
      </c>
      <c r="D20" s="25"/>
    </row>
    <row r="21" spans="1:5">
      <c r="A21" s="25"/>
      <c r="B21" s="23" t="s">
        <v>167</v>
      </c>
      <c r="C21" s="27" t="str">
        <f>IF(ISTEXT(C14),LOOKUP(C14,Veranstaltungsliste,Veranstaltungen!H2:H8),"")</f>
        <v/>
      </c>
      <c r="D21" s="25"/>
    </row>
    <row r="23" spans="1:5">
      <c r="A23" s="22" t="s">
        <v>168</v>
      </c>
      <c r="B23" s="23"/>
      <c r="C23" s="24" t="str">
        <f>IF(ISBLANK(C24),"Wählen Sie hier ihren Verein aus:","")</f>
        <v>Wählen Sie hier ihren Verein aus:</v>
      </c>
      <c r="D23" s="25"/>
    </row>
    <row r="24" spans="1:5">
      <c r="A24" s="25"/>
      <c r="B24" s="23" t="s">
        <v>169</v>
      </c>
      <c r="C24" s="26"/>
      <c r="D24" s="25"/>
    </row>
    <row r="25" spans="1:5">
      <c r="A25" s="25"/>
      <c r="B25" s="23" t="s">
        <v>170</v>
      </c>
      <c r="C25" s="27" t="str">
        <f>IF(ISTEXT(C24),LOOKUP(C24,Vereinsliste,Vereine!C1:C99),"")</f>
        <v/>
      </c>
      <c r="D25" s="25"/>
    </row>
    <row r="26" spans="1:5">
      <c r="A26" s="25"/>
      <c r="B26" s="23" t="s">
        <v>171</v>
      </c>
      <c r="C26" s="27" t="str">
        <f>IF(ISTEXT(C24),LOOKUP(C24,Vereinsliste,Vereine!D1:D99),"")</f>
        <v/>
      </c>
      <c r="D26" s="25"/>
    </row>
    <row r="27" spans="1:5">
      <c r="A27" s="22"/>
      <c r="B27" s="36" t="s">
        <v>28</v>
      </c>
      <c r="C27" s="25"/>
      <c r="D27" s="25"/>
    </row>
    <row r="28" spans="1:5">
      <c r="A28" s="22"/>
      <c r="B28" s="36" t="s">
        <v>29</v>
      </c>
      <c r="C28" s="25"/>
      <c r="D28" s="25"/>
    </row>
    <row r="29" spans="1:5">
      <c r="A29" s="25"/>
      <c r="B29" s="23" t="s">
        <v>203</v>
      </c>
      <c r="C29" s="302" t="str">
        <f>C26</f>
        <v/>
      </c>
      <c r="D29" s="25"/>
    </row>
    <row r="30" spans="1:5">
      <c r="A30" s="25"/>
      <c r="B30" s="23" t="s">
        <v>204</v>
      </c>
      <c r="C30" s="302" t="str">
        <f>C25</f>
        <v/>
      </c>
      <c r="D30" s="25"/>
      <c r="E30" s="147" t="str">
        <f>IF(C29="","",IF((FIND(" ",C30,1)=1),"Leerzeichen oran NIO",IF(((C29&lt;&gt;"")*(ISERROR(FIND("Turngau ",C30,1)))),"Turngau XXX schreiben !!!!","")))</f>
        <v/>
      </c>
    </row>
    <row r="31" spans="1:5">
      <c r="A31" s="25"/>
      <c r="B31" s="23"/>
      <c r="C31" s="25"/>
      <c r="D31" s="25"/>
    </row>
    <row r="32" spans="1:5">
      <c r="A32" s="22" t="s">
        <v>172</v>
      </c>
      <c r="B32" s="23"/>
      <c r="C32" s="24" t="str">
        <f>IF(OR(ISBLANK(C33),ISBLANK(C34),ISBLANK(C35),ISBLANK(C36),ISBLANK(C37),ISBLANK(C38)),"Füllen Sie mindestens Name, Anschrift und Telefon aus:","")</f>
        <v/>
      </c>
      <c r="D32" s="25"/>
    </row>
    <row r="33" spans="1:5">
      <c r="A33" s="25"/>
      <c r="B33" s="23" t="s">
        <v>173</v>
      </c>
      <c r="C33" s="26" t="s">
        <v>657</v>
      </c>
      <c r="D33" s="25"/>
    </row>
    <row r="34" spans="1:5">
      <c r="A34" s="25"/>
      <c r="B34" s="23" t="s">
        <v>174</v>
      </c>
      <c r="C34" s="26" t="s">
        <v>657</v>
      </c>
      <c r="D34" s="25"/>
    </row>
    <row r="35" spans="1:5">
      <c r="A35" s="25"/>
      <c r="B35" s="23" t="s">
        <v>175</v>
      </c>
      <c r="C35" s="30" t="s">
        <v>657</v>
      </c>
      <c r="D35" s="25"/>
    </row>
    <row r="36" spans="1:5">
      <c r="A36" s="25"/>
      <c r="B36" s="23" t="s">
        <v>176</v>
      </c>
      <c r="C36" s="30" t="s">
        <v>657</v>
      </c>
      <c r="D36" s="25"/>
    </row>
    <row r="37" spans="1:5">
      <c r="A37" s="25"/>
      <c r="B37" s="23" t="s">
        <v>166</v>
      </c>
      <c r="C37" s="30" t="s">
        <v>657</v>
      </c>
      <c r="D37" s="25"/>
    </row>
    <row r="38" spans="1:5">
      <c r="A38" s="25"/>
      <c r="B38" s="23" t="s">
        <v>177</v>
      </c>
      <c r="C38" s="30" t="s">
        <v>657</v>
      </c>
      <c r="D38" s="25"/>
    </row>
    <row r="39" spans="1:5" hidden="1">
      <c r="A39" s="25"/>
      <c r="B39" s="23" t="s">
        <v>178</v>
      </c>
      <c r="C39" s="30"/>
      <c r="D39" s="25"/>
    </row>
    <row r="40" spans="1:5">
      <c r="A40" s="25"/>
      <c r="B40" s="23" t="s">
        <v>179</v>
      </c>
      <c r="C40" s="152" t="s">
        <v>657</v>
      </c>
      <c r="D40" s="25"/>
    </row>
    <row r="41" spans="1:5" hidden="1">
      <c r="A41" s="25"/>
      <c r="B41" s="23" t="s">
        <v>328</v>
      </c>
      <c r="C41" s="206" t="str">
        <f>IF((($C$14='WK-Vorlagen'!$C$82)),"(Fahnenbänder gibt es nicht mehr (aus Kostengründen))","(Fahnenbänder gibt es nicht mehr (aus Kostengründen))")</f>
        <v>(Fahnenbänder gibt es nicht mehr (aus Kostengründen))</v>
      </c>
      <c r="D41" s="25"/>
    </row>
    <row r="42" spans="1:5">
      <c r="A42" s="31"/>
      <c r="B42" s="32"/>
      <c r="C42" s="33"/>
    </row>
    <row r="43" spans="1:5">
      <c r="A43" s="22" t="s">
        <v>180</v>
      </c>
      <c r="B43" s="23"/>
      <c r="C43" s="34" t="str">
        <f>IF(AND(C44=0,C45=0,C46=0),"Füllen Sie die Seiten 'Teilnehmer' und 'Kampfrichter' aus, ggf. auch 'Mannschaften'","")</f>
        <v>Füllen Sie die Seiten 'Teilnehmer' und 'Kampfrichter' aus, ggf. auch 'Mannschaften'</v>
      </c>
      <c r="D43" s="25"/>
    </row>
    <row r="44" spans="1:5">
      <c r="A44" s="25"/>
      <c r="B44" s="23" t="s">
        <v>181</v>
      </c>
      <c r="C44" s="27">
        <f>IF(COUNTIF(Teilnehmer!T:T,"unvollständig")&gt;0,"Teilnehmerdaten sind unvollständig!",Übersicht!C52)</f>
        <v>0</v>
      </c>
      <c r="D44" s="25"/>
      <c r="E44" s="147"/>
    </row>
    <row r="45" spans="1:5">
      <c r="A45" s="25"/>
      <c r="B45" s="23" t="s">
        <v>182</v>
      </c>
      <c r="C45" s="27">
        <f>IF(COUNTIF(Mannschaften!Q:Q,"unvollständig")&gt;0,"Mannschaftsdaten sind unvollständig!",Übersicht!I52)</f>
        <v>0</v>
      </c>
      <c r="D45" s="25"/>
      <c r="E45" s="147"/>
    </row>
    <row r="46" spans="1:5">
      <c r="A46" s="25"/>
      <c r="B46" s="23" t="str">
        <f>CONCATENATE("Anzahl Kampfrichter",IF((C14='WK-Vorlagen'!C42),"/Helfer",""),":")</f>
        <v>Anzahl Kampfrichter:</v>
      </c>
      <c r="C46" s="27">
        <f>IF(Kampfrichter!H57&lt;Übersicht!O63,"Zu wenige Karis Gymnastik (RSG) mit Lizenz",IF(Kampfrichter!H58&lt;Übersicht!O64,"Zu wenige Karis Rope Skipping mit Lizenz",IF(Kampfrichter!H59&lt;Übersicht!O65,"Zu wenige Karis Dance mit Lizenz",IF(Kampfrichter!H60&lt;Übersicht!O66,"Zu wenige Karis andere Fachgebiete ausser RSG, Dance und Rope Skipping mit Lizenz",IF(SUM(Kampfrichter!H56:H60)&lt;SUM(Übersicht!O63:O67),"Zu wenige Helfer ohne Lizenz",IF(COUNTIF(Kampfrichter!J:J,"unvollständig")&gt;0,"Kampfrichterdaten sind unvollständig!",COUNTIF(Kampfrichter!$A$17:$A$55,"&gt; ''")))))))</f>
        <v>0</v>
      </c>
      <c r="D46" s="25"/>
      <c r="E46" s="147"/>
    </row>
    <row r="47" spans="1:5" ht="24.95" customHeight="1">
      <c r="A47" s="25"/>
      <c r="B47" s="23" t="s">
        <v>183</v>
      </c>
      <c r="C47" s="212" t="str">
        <f>IF(ISBLANK(C64),"Bitte Anmeldedatum (unten) ausfüllen!",Übersicht!O82)</f>
        <v>Bitte Anmeldedatum (unten) ausfüllen!</v>
      </c>
      <c r="D47" s="25"/>
    </row>
    <row r="48" spans="1:5">
      <c r="A48" s="31"/>
      <c r="B48" s="32"/>
      <c r="C48" s="33"/>
    </row>
    <row r="49" spans="1:5" hidden="1">
      <c r="A49" s="22" t="s">
        <v>184</v>
      </c>
      <c r="B49" s="23"/>
      <c r="C49" s="35"/>
      <c r="D49" s="25"/>
    </row>
    <row r="50" spans="1:5" hidden="1">
      <c r="A50" s="22"/>
      <c r="B50" s="36" t="s">
        <v>185</v>
      </c>
      <c r="C50" s="35"/>
      <c r="D50" s="25"/>
    </row>
    <row r="51" spans="1:5" hidden="1">
      <c r="A51" s="22"/>
      <c r="B51" s="36" t="s">
        <v>186</v>
      </c>
      <c r="C51" s="35"/>
      <c r="D51" s="25"/>
    </row>
    <row r="52" spans="1:5" hidden="1">
      <c r="A52" s="22"/>
      <c r="B52" s="23"/>
      <c r="C52" s="37"/>
      <c r="D52" s="25"/>
    </row>
    <row r="53" spans="1:5" hidden="1">
      <c r="A53" s="22"/>
      <c r="B53" s="23"/>
      <c r="C53" s="38"/>
      <c r="D53" s="25"/>
    </row>
    <row r="54" spans="1:5" hidden="1">
      <c r="A54" s="22"/>
      <c r="B54" s="23"/>
      <c r="C54" s="38"/>
      <c r="D54" s="25"/>
    </row>
    <row r="55" spans="1:5" hidden="1">
      <c r="A55" s="22"/>
      <c r="B55" s="23"/>
      <c r="C55" s="38"/>
      <c r="D55" s="25"/>
    </row>
    <row r="56" spans="1:5" hidden="1">
      <c r="C56" s="33"/>
    </row>
    <row r="57" spans="1:5">
      <c r="A57" s="22"/>
      <c r="B57" s="23"/>
      <c r="C57" s="25"/>
      <c r="D57" s="25"/>
    </row>
    <row r="58" spans="1:5" s="40" customFormat="1" ht="12">
      <c r="A58" s="36"/>
      <c r="B58" s="36" t="s">
        <v>187</v>
      </c>
      <c r="C58" s="39"/>
      <c r="D58" s="39"/>
    </row>
    <row r="59" spans="1:5" s="40" customFormat="1" ht="12">
      <c r="A59" s="36"/>
      <c r="B59" s="36" t="s">
        <v>188</v>
      </c>
      <c r="C59" s="39"/>
      <c r="D59" s="39"/>
    </row>
    <row r="60" spans="1:5" s="40" customFormat="1" ht="12">
      <c r="A60" s="36"/>
      <c r="B60" s="36" t="s">
        <v>189</v>
      </c>
      <c r="C60" s="39"/>
      <c r="D60" s="39"/>
    </row>
    <row r="61" spans="1:5" s="40" customFormat="1" ht="12">
      <c r="A61" s="36"/>
      <c r="B61" s="36" t="s">
        <v>190</v>
      </c>
      <c r="C61" s="39"/>
      <c r="D61" s="39"/>
    </row>
    <row r="62" spans="1:5" s="40" customFormat="1" ht="12">
      <c r="A62" s="36"/>
      <c r="B62" s="36" t="s">
        <v>191</v>
      </c>
      <c r="C62" s="39"/>
      <c r="D62" s="39"/>
    </row>
    <row r="63" spans="1:5">
      <c r="A63" s="25"/>
      <c r="B63" s="23"/>
      <c r="C63" s="24" t="str">
        <f>IF(ISBLANK(C64),"Tragen sie hier das heutige Datum ein:","")</f>
        <v>Tragen sie hier das heutige Datum ein:</v>
      </c>
      <c r="D63" s="25"/>
    </row>
    <row r="64" spans="1:5">
      <c r="A64" s="25"/>
      <c r="B64" s="23" t="s">
        <v>192</v>
      </c>
      <c r="C64" s="41"/>
      <c r="D64" s="42"/>
      <c r="E64" s="43"/>
    </row>
    <row r="65" spans="1:5" ht="39.75" hidden="1" customHeight="1">
      <c r="A65" s="25"/>
      <c r="B65" s="44" t="s">
        <v>193</v>
      </c>
      <c r="C65" s="45"/>
      <c r="D65" s="25"/>
    </row>
    <row r="66" spans="1:5">
      <c r="A66" s="25"/>
      <c r="B66" s="25"/>
      <c r="C66" s="25"/>
      <c r="D66" s="25"/>
    </row>
    <row r="67" spans="1:5" s="31" customFormat="1"/>
    <row r="68" spans="1:5">
      <c r="A68" s="22" t="s">
        <v>194</v>
      </c>
      <c r="B68" s="23"/>
      <c r="C68" s="24" t="str">
        <f>IF(AND((A70=""),OR(ISBLANK(A74),ISBLANK(C76),ISBLANK(C77),ISBLANK(C78),ISBLANK(C79))),"Füllen Sie die Zahlungsweise aus","")</f>
        <v>Füllen Sie die Zahlungsweise aus</v>
      </c>
      <c r="D68" s="25"/>
    </row>
    <row r="69" spans="1:5">
      <c r="A69" s="22"/>
      <c r="B69" s="46" t="s">
        <v>195</v>
      </c>
      <c r="C69" s="25"/>
      <c r="D69" s="25"/>
    </row>
    <row r="70" spans="1:5">
      <c r="A70" s="47" t="str">
        <f>IF(C29="","",LOOKUP(C29,Vereinsliste,Vereine!E1:E99))</f>
        <v/>
      </c>
      <c r="B70" s="36" t="str">
        <f>IF(ISTEXT(C14),"Dem " &amp; LOOKUP(C14,Veranstaltungsliste,Veranstaltungen!B2:B8) &amp; " liegt eine Dauereinzugsermächtigung vor.","")</f>
        <v/>
      </c>
      <c r="C70" s="25"/>
      <c r="D70" s="25"/>
    </row>
    <row r="71" spans="1:5">
      <c r="A71" s="22"/>
      <c r="B71" s="205" t="s">
        <v>325</v>
      </c>
      <c r="C71" s="25"/>
      <c r="D71" s="25"/>
    </row>
    <row r="72" spans="1:5">
      <c r="A72" s="22"/>
      <c r="B72" s="205" t="s">
        <v>326</v>
      </c>
      <c r="C72" s="25"/>
      <c r="D72" s="25"/>
    </row>
    <row r="73" spans="1:5">
      <c r="A73" s="22"/>
      <c r="B73" s="23"/>
      <c r="C73" s="25"/>
      <c r="D73" s="25"/>
    </row>
    <row r="74" spans="1:5">
      <c r="A74" s="48"/>
      <c r="B74" s="36" t="str">
        <f>IF(ISBLANK(C14),"", LOOKUP(C14,Veranstaltungsliste,"Ich ermächtige den " &amp; Veranstaltungen!C2:C8 &amp; ", die Meldegebühr von folgendem Konto im Lastschriftverfahren"))</f>
        <v/>
      </c>
      <c r="C74" s="25"/>
      <c r="D74" s="25"/>
    </row>
    <row r="75" spans="1:5">
      <c r="A75" s="22"/>
      <c r="B75" s="36" t="str">
        <f>IF(ISBLANK(C14),"","einzuziehen (bitte schicken Sie diese Seite ausgedruckt und unterschrieben per Telefax an " &amp; LOOKUP(C14,Veranstaltungsliste,Veranstaltungen!Q2:Q8) &amp; "):")</f>
        <v/>
      </c>
      <c r="C75" s="25"/>
      <c r="D75" s="25"/>
    </row>
    <row r="76" spans="1:5">
      <c r="A76" s="25"/>
      <c r="B76" s="23" t="s">
        <v>196</v>
      </c>
      <c r="C76" s="49"/>
      <c r="D76" s="25"/>
      <c r="E76" s="43"/>
    </row>
    <row r="77" spans="1:5">
      <c r="A77" s="25"/>
      <c r="B77" s="23" t="s">
        <v>197</v>
      </c>
      <c r="C77" s="50"/>
      <c r="D77" s="25"/>
      <c r="E77" s="43"/>
    </row>
    <row r="78" spans="1:5">
      <c r="A78" s="25"/>
      <c r="B78" s="23" t="s">
        <v>198</v>
      </c>
      <c r="C78" s="50"/>
      <c r="D78" s="25"/>
      <c r="E78" s="43"/>
    </row>
    <row r="79" spans="1:5">
      <c r="A79" s="25"/>
      <c r="B79" s="23" t="s">
        <v>199</v>
      </c>
      <c r="C79" s="50"/>
      <c r="D79" s="25"/>
      <c r="E79" s="43"/>
    </row>
    <row r="80" spans="1:5">
      <c r="A80" s="25"/>
      <c r="B80" s="23"/>
      <c r="C80" s="25"/>
      <c r="D80" s="25"/>
    </row>
    <row r="81" spans="1:4" ht="39.75" customHeight="1">
      <c r="A81" s="25"/>
      <c r="B81" s="44" t="s">
        <v>193</v>
      </c>
      <c r="C81" s="45"/>
      <c r="D81" s="25"/>
    </row>
    <row r="82" spans="1:4">
      <c r="A82" s="25"/>
      <c r="B82" s="25"/>
      <c r="C82" s="22" t="s">
        <v>327</v>
      </c>
      <c r="D82" s="25"/>
    </row>
    <row r="83" spans="1:4" s="31" customFormat="1"/>
    <row r="84" spans="1:4" s="31" customFormat="1">
      <c r="A84" s="51" t="s">
        <v>234</v>
      </c>
      <c r="B84" s="51"/>
      <c r="C84" s="51"/>
      <c r="D84" s="51"/>
    </row>
    <row r="85" spans="1:4" s="31" customFormat="1">
      <c r="A85" s="51"/>
      <c r="B85" s="52" t="str">
        <f>IF(AND(ISTEXT(Deckblatt!$C14),ISTEXT($C29)),"Anmeldung_TGNT_"&amp; LOOKUP(Deckblatt!$C14,Veranstaltungsliste,Veranstaltungen!B2:B8) &amp;"_" &amp; $C29 &amp; ".xls","")</f>
        <v/>
      </c>
      <c r="C85" s="52"/>
      <c r="D85" s="51"/>
    </row>
    <row r="86" spans="1:4" s="31" customFormat="1">
      <c r="A86" s="51" t="s">
        <v>200</v>
      </c>
      <c r="B86" s="51"/>
      <c r="C86" s="51"/>
      <c r="D86" s="51"/>
    </row>
    <row r="87" spans="1:4" s="31" customFormat="1">
      <c r="A87" s="51"/>
      <c r="B87" s="52" t="str">
        <f>IF(ISBLANK(C14),"",LOOKUP(Deckblatt!$C14,Veranstaltungsliste,Veranstaltungen!$O2:$O8))</f>
        <v/>
      </c>
      <c r="C87" s="52"/>
      <c r="D87" s="51"/>
    </row>
    <row r="88" spans="1:4" s="31" customFormat="1">
      <c r="A88" s="31" t="s">
        <v>528</v>
      </c>
    </row>
    <row r="89" spans="1:4" s="31" customFormat="1">
      <c r="B89" s="52" t="str">
        <f>IF(ISBLANK(C14),"","volker-schaber@t-online.de")</f>
        <v/>
      </c>
    </row>
    <row r="90" spans="1:4" s="31" customFormat="1">
      <c r="C90" s="232"/>
    </row>
    <row r="91" spans="1:4" s="5" customFormat="1" ht="11.25">
      <c r="A91" s="53" t="s">
        <v>262</v>
      </c>
      <c r="B91" s="7"/>
    </row>
    <row r="92" spans="1:4" s="5" customFormat="1" ht="11.25">
      <c r="A92" s="53" t="s">
        <v>201</v>
      </c>
      <c r="B92" s="7"/>
    </row>
  </sheetData>
  <sheetCalcPr fullCalcOnLoad="1"/>
  <sheetProtection password="C04C" sheet="1" selectLockedCells="1"/>
  <dataConsolidate/>
  <phoneticPr fontId="3" type="noConversion"/>
  <dataValidations count="6">
    <dataValidation type="date" allowBlank="1" showInputMessage="1" showErrorMessage="1" sqref="C64">
      <formula1>1</formula1>
      <formula2>2958465</formula2>
    </dataValidation>
    <dataValidation allowBlank="1" showErrorMessage="1" promptTitle="Bezirk" prompt="Wählen Sie den Bezirk (1 bis 3) aus, in dem ihr Verein am Gaukindertreffen teilnimmt" sqref="C17"/>
    <dataValidation type="list" showInputMessage="1" showErrorMessage="1" errorTitle="Verein" error="Bitte wählen Sie einen Verein aus der Liste aus, geben Sie den Vereinsnamen nicht selbst ein!" promptTitle="Wählen Sie ihren Verein aus!" prompt="Rechts neben dem Eingabefeld für den Verein wird eine Schaltfläche zum Öffnen einer Vereinsliste angezeigt. Klicken Sie auf diese Schaltfläche und wählen Sie ihren Verein aus der Liste aus._x000a_" sqref="C24">
      <formula1>Vereinsliste</formula1>
    </dataValidation>
    <dataValidation type="list" allowBlank="1" showInputMessage="1" showErrorMessage="1" sqref="C14">
      <formula1>Veranstaltungsliste</formula1>
    </dataValidation>
    <dataValidation type="list" allowBlank="1" showInputMessage="1" showErrorMessage="1" errorTitle="Zahlung" error="Bitte tragen Sie in eines der alternativen Felder ein &quot;X&quot; ein" promptTitle="Lastschrifteinzug" prompt="Kreuzen Sie dieses Feld an, geben Sie in den nächsten Zeilen ihre Kontodaten an und schicken Sie die ausgefüllte Datei per E-Mail ein. Lassen Sie dann dieses Blatt ausdrucken, unterschreiben Sie es und schicken sie es per Telefax an die angegebene Nummer." sqref="A74">
      <formula1>Auswahl_LA</formula1>
    </dataValidation>
    <dataValidation type="list" allowBlank="1" showInputMessage="1" showErrorMessage="1" errorTitle="Zahlung" error="Bitte tragen Sie in eines der alternativen Felder ein &quot;X&quot; ein" promptTitle="Dauereinzugsermächtigung" prompt="Wurde von ihrem Verein bereits eine Dauereinzugsermächtigung erteilt, auf der Sie persönlich als Meldeverantwortlicher angegeben sind, so kreuzen Sie dieses Feld an. Sie brauchen dann nur die ausgefüllte Excel-Datei per E-Mail einzusenden (kein Fax)." sqref="A70">
      <formula1>Auswahl_LA</formula1>
    </dataValidation>
  </dataValidations>
  <pageMargins left="0.59055118110236227" right="0.59055118110236227" top="0.78740157480314965" bottom="0.78740157480314965" header="0.51181102362204722" footer="0.51181102362204722"/>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N999"/>
  <sheetViews>
    <sheetView zoomScale="90" zoomScaleNormal="100" zoomScaleSheetLayoutView="90" workbookViewId="0">
      <selection activeCell="A4" sqref="A4"/>
    </sheetView>
  </sheetViews>
  <sheetFormatPr baseColWidth="10" defaultRowHeight="12.75"/>
  <cols>
    <col min="1" max="1" width="15.7109375" style="33" customWidth="1"/>
    <col min="2" max="2" width="12.7109375" style="33" customWidth="1"/>
    <col min="3" max="3" width="13.140625" style="33" bestFit="1" customWidth="1"/>
    <col min="4" max="4" width="14.7109375" style="33" hidden="1" customWidth="1"/>
    <col min="5" max="5" width="11.5703125" style="33" bestFit="1" customWidth="1"/>
    <col min="6" max="6" width="11.42578125" style="33"/>
    <col min="7" max="10" width="7.7109375" style="33" customWidth="1"/>
    <col min="11" max="18" width="7.7109375" style="33" hidden="1" customWidth="1"/>
    <col min="19" max="19" width="2.7109375" style="259" customWidth="1"/>
    <col min="20" max="20" width="10.28515625" style="201" customWidth="1"/>
    <col min="21" max="21" width="5.7109375" style="201" hidden="1" customWidth="1"/>
    <col min="22" max="22" width="12.5703125" style="201" bestFit="1" customWidth="1"/>
    <col min="23" max="23" width="20.28515625" style="201" customWidth="1"/>
    <col min="24" max="24" width="7.7109375" style="201" customWidth="1"/>
    <col min="25" max="25" width="35.42578125" style="201" customWidth="1"/>
    <col min="26" max="26" width="7.7109375" style="201" customWidth="1"/>
    <col min="27" max="30" width="5.7109375" style="201" customWidth="1"/>
    <col min="31" max="31" width="2.7109375" style="201" customWidth="1"/>
    <col min="32" max="32" width="70.7109375" style="33" customWidth="1"/>
    <col min="33" max="34" width="10.7109375" style="222" hidden="1" customWidth="1"/>
    <col min="35" max="36" width="5.7109375" style="222" hidden="1" customWidth="1"/>
    <col min="37" max="38" width="8.28515625" style="167" hidden="1" customWidth="1"/>
    <col min="39" max="39" width="11.42578125" style="167" hidden="1" customWidth="1"/>
    <col min="40" max="40" width="5.85546875" style="33" hidden="1" customWidth="1"/>
    <col min="41" max="16384" width="11.42578125" style="33"/>
  </cols>
  <sheetData>
    <row r="1" spans="1:39" s="171" customFormat="1" ht="15" customHeight="1">
      <c r="A1" s="67" t="str">
        <f>"Teilnehmer " &amp; IF(LEN(Deckblatt!C24)&gt;0,Deckblatt!C24,"")</f>
        <v xml:space="preserve">Teilnehmer </v>
      </c>
      <c r="B1" s="68"/>
      <c r="C1" s="69"/>
      <c r="D1" s="69"/>
      <c r="E1" s="281" t="s">
        <v>500</v>
      </c>
      <c r="F1" s="70"/>
      <c r="G1" s="54"/>
      <c r="H1" s="169"/>
      <c r="I1" s="169"/>
      <c r="J1" s="170"/>
      <c r="K1" s="169"/>
      <c r="L1" s="169"/>
      <c r="M1" s="169"/>
      <c r="N1" s="169"/>
      <c r="O1" s="169"/>
      <c r="P1" s="169"/>
      <c r="Q1" s="169"/>
      <c r="R1" s="170"/>
      <c r="T1" s="199"/>
      <c r="U1" s="199"/>
      <c r="V1" s="199"/>
      <c r="W1" s="199"/>
      <c r="X1" s="199"/>
      <c r="Y1" s="239" t="s">
        <v>500</v>
      </c>
      <c r="Z1" s="239"/>
      <c r="AA1" s="199"/>
      <c r="AB1" s="199"/>
      <c r="AC1" s="199"/>
      <c r="AD1" s="199"/>
      <c r="AE1" s="199"/>
      <c r="AG1" s="202"/>
      <c r="AH1" s="202"/>
      <c r="AI1" s="202"/>
      <c r="AJ1" s="202"/>
      <c r="AK1" s="202"/>
      <c r="AL1" s="202"/>
      <c r="AM1" s="202"/>
    </row>
    <row r="2" spans="1:39" s="172" customFormat="1">
      <c r="A2" s="71" t="s">
        <v>206</v>
      </c>
      <c r="B2" s="72"/>
      <c r="C2" s="73"/>
      <c r="D2" s="74"/>
      <c r="E2" s="75" t="s">
        <v>211</v>
      </c>
      <c r="F2" s="75" t="s">
        <v>202</v>
      </c>
      <c r="G2" s="76" t="s">
        <v>212</v>
      </c>
      <c r="H2" s="77"/>
      <c r="I2" s="77"/>
      <c r="J2" s="78"/>
      <c r="K2" s="79"/>
      <c r="L2" s="80"/>
      <c r="M2" s="80"/>
      <c r="N2" s="80"/>
      <c r="O2" s="80"/>
      <c r="P2" s="80"/>
      <c r="Q2" s="80"/>
      <c r="R2" s="80"/>
      <c r="T2" s="200"/>
      <c r="U2" s="200"/>
      <c r="V2" s="200"/>
      <c r="W2" s="200"/>
      <c r="X2" s="200"/>
      <c r="Y2" s="200"/>
      <c r="Z2" s="200"/>
      <c r="AA2" s="200"/>
      <c r="AB2" s="200"/>
      <c r="AC2" s="200"/>
      <c r="AD2" s="200"/>
      <c r="AE2" s="200"/>
      <c r="AG2" s="220"/>
      <c r="AH2" s="220"/>
      <c r="AI2" s="220"/>
      <c r="AJ2" s="220"/>
      <c r="AK2" s="290"/>
      <c r="AL2" s="290"/>
      <c r="AM2" s="290"/>
    </row>
    <row r="3" spans="1:39" s="172" customFormat="1" ht="27.75" customHeight="1">
      <c r="A3" s="81" t="s">
        <v>213</v>
      </c>
      <c r="B3" s="81" t="s">
        <v>214</v>
      </c>
      <c r="C3" s="82" t="s">
        <v>215</v>
      </c>
      <c r="D3" s="82" t="s">
        <v>146</v>
      </c>
      <c r="E3" s="59" t="s">
        <v>216</v>
      </c>
      <c r="F3" s="59" t="s">
        <v>207</v>
      </c>
      <c r="G3" s="59">
        <v>1</v>
      </c>
      <c r="H3" s="59">
        <v>2</v>
      </c>
      <c r="I3" s="59">
        <v>3</v>
      </c>
      <c r="J3" s="240">
        <v>4</v>
      </c>
      <c r="K3" s="241"/>
      <c r="L3" s="240"/>
      <c r="M3" s="240"/>
      <c r="N3" s="240"/>
      <c r="O3" s="240"/>
      <c r="P3" s="240"/>
      <c r="Q3" s="240"/>
      <c r="R3" s="240"/>
      <c r="S3" s="256"/>
      <c r="T3" s="300" t="s">
        <v>505</v>
      </c>
      <c r="U3" s="242"/>
      <c r="V3" s="242"/>
      <c r="W3" s="242"/>
      <c r="X3" s="242"/>
      <c r="Y3" s="253" t="s">
        <v>211</v>
      </c>
      <c r="Z3" s="253" t="s">
        <v>504</v>
      </c>
      <c r="AA3" s="323" t="s">
        <v>337</v>
      </c>
      <c r="AB3" s="324"/>
      <c r="AC3" s="324"/>
      <c r="AD3" s="325"/>
      <c r="AE3" s="210"/>
      <c r="AF3" s="282" t="s">
        <v>414</v>
      </c>
      <c r="AG3" s="289" t="s">
        <v>322</v>
      </c>
      <c r="AH3" s="220" t="s">
        <v>559</v>
      </c>
      <c r="AI3" s="291" t="s">
        <v>560</v>
      </c>
      <c r="AJ3" s="210" t="s">
        <v>561</v>
      </c>
      <c r="AK3" s="292" t="s">
        <v>531</v>
      </c>
      <c r="AL3" s="292" t="s">
        <v>216</v>
      </c>
      <c r="AM3" s="304" t="s">
        <v>612</v>
      </c>
    </row>
    <row r="4" spans="1:39" s="174" customFormat="1" ht="15" customHeight="1">
      <c r="A4" s="61"/>
      <c r="B4" s="61"/>
      <c r="C4" s="149"/>
      <c r="D4" s="83"/>
      <c r="E4" s="60"/>
      <c r="F4" s="60"/>
      <c r="G4" s="60"/>
      <c r="H4" s="60"/>
      <c r="I4" s="60"/>
      <c r="J4" s="89"/>
      <c r="K4" s="89"/>
      <c r="L4" s="89"/>
      <c r="M4" s="89"/>
      <c r="N4" s="89"/>
      <c r="O4" s="89"/>
      <c r="P4" s="89"/>
      <c r="Q4" s="89"/>
      <c r="R4" s="89"/>
      <c r="S4" s="257"/>
      <c r="T4" s="243" t="str">
        <f>IF(AND(OR(ISTEXT(A4),ISTEXT(B4),NOT(ISBLANK(C4)),NOT(ISBLANK(D4)),NOT(ISBLANK(E4))),OR(ISBLANK(A4),ISBLANK(B4),ISBLANK(C4),ISBLANK(E4))),"unvollständig","")</f>
        <v/>
      </c>
      <c r="U4" s="244" t="str">
        <f>IF(ISBLANK(C4),"",YEAR(C4))</f>
        <v/>
      </c>
      <c r="V4" s="293" t="str">
        <f>IF(((AK4="-")*(F4=""))+((AK4=1)*(F4&lt;&gt;""))+(Y4="WK falsch"),"",IF((AK4=1)*(F4=""),"Mannsch-Nr fehlt","Mannsch-Nr entf"))</f>
        <v/>
      </c>
      <c r="W4" s="293" t="str">
        <f>IF(((E4="")+(F4="")),"",IF(VLOOKUP(F4,Mannschaften!$A$1:$B$54,2,FALSE)&lt;&gt;E4,"Reiter Mannschaften füllen",""))</f>
        <v/>
      </c>
      <c r="X4" s="243" t="str">
        <f>IF(ISBLANK(C4),"",IF((U4&gt;(LOOKUP(E4,WKNrListe,Übersicht!$O$7:$O$46)))+(U4&lt;(LOOKUP(E4,WKNrListe,Übersicht!$P$7:$P$46))),"JG falsch",""))</f>
        <v/>
      </c>
      <c r="Y4" s="254" t="str">
        <f>IF((A4="")*(B4=""),"",IF(ISERROR(MATCH(E4,WKNrListe,0)),"WK falsch",LOOKUP(E4,WKNrListe,Übersicht!$B$7:$B$46)))</f>
        <v/>
      </c>
      <c r="Z4" s="268" t="str">
        <f>IF(((AJ4=0)*(AH4&lt;&gt;"")*(AK4="-"))+((AJ4&lt;&gt;0)*(AH4&lt;&gt;"")*(AK4="-")),IF(AG4="X",Übersicht!$C$70,Übersicht!$C$69),"-")</f>
        <v>-</v>
      </c>
      <c r="AA4" s="247" t="str">
        <f>IF((($A4="")*($B4=""))+((MID($Y4,1,4)&lt;&gt;"Wahl")*(Deckblatt!$C$14='WK-Vorlagen'!$C$82))+(Deckblatt!$C$14&lt;&gt;'WK-Vorlagen'!$C$82),"",IF(ISERROR(MATCH(VALUE(MID(G4,1,2)),Schwierigkeitsstufen!$G$7:$G$19,0)),"Gerät falsch",LOOKUP(VALUE(MID(G4,1,2)),Schwierigkeitsstufen!$G$7:$G$19,Schwierigkeitsstufen!$H$7:$H$19)))</f>
        <v/>
      </c>
      <c r="AB4" s="245" t="str">
        <f>IF((($A4="")*($B4=""))+((MID($Y4,1,4)&lt;&gt;"Wahl")*(Deckblatt!$C$14='WK-Vorlagen'!$C$82))+(Deckblatt!$C$14&lt;&gt;'WK-Vorlagen'!$C$82),"",IF(ISERROR(MATCH(VALUE(MID(H4,1,2)),Schwierigkeitsstufen!$G$7:$G$19,0)),"Gerät falsch",LOOKUP(VALUE(MID(H4,1,2)),Schwierigkeitsstufen!$G$7:$G$19,Schwierigkeitsstufen!$H$7:$H$19)))</f>
        <v/>
      </c>
      <c r="AC4" s="245" t="str">
        <f>IF((($A4="")*($B4=""))+((MID($Y4,1,4)&lt;&gt;"Wahl")*(Deckblatt!$C$14='WK-Vorlagen'!$C$82))+(Deckblatt!$C$14&lt;&gt;'WK-Vorlagen'!$C$82),"",IF(ISERROR(MATCH(VALUE(MID(I4,1,2)),Schwierigkeitsstufen!$G$7:$G$19,0)),"Gerät falsch",LOOKUP(VALUE(MID(I4,1,2)),Schwierigkeitsstufen!$G$7:$G$19,Schwierigkeitsstufen!$H$7:$H$19)))</f>
        <v/>
      </c>
      <c r="AD4" s="246" t="str">
        <f>IF((($A4="")*($B4=""))+((MID($Y4,1,4)&lt;&gt;"Wahl")*(Deckblatt!$C$14='WK-Vorlagen'!$C$82))+(Deckblatt!$C$14&lt;&gt;'WK-Vorlagen'!$C$82),"",IF(ISERROR(MATCH(VALUE(MID(J4,1,2)),Schwierigkeitsstufen!$G$7:$G$19,0)),"Gerät falsch",LOOKUP(VALUE(MID(J4,1,2)),Schwierigkeitsstufen!$G$7:$G$19,Schwierigkeitsstufen!$H$7:$H$19)))</f>
        <v/>
      </c>
      <c r="AE4" s="260"/>
      <c r="AF4" s="195" t="s">
        <v>276</v>
      </c>
      <c r="AG4" s="221" t="str">
        <f t="shared" ref="AG4:AG67" si="0">IF((C4&lt;&gt;0),IF(((Jahr-U4)&gt;19)*(AJ4=0)*(AK4&lt;&gt;1),"X",IF(((Jahr-U4)&gt;19)*(AJ4=0),"J","-")),"")</f>
        <v/>
      </c>
      <c r="AH4" s="222" t="str">
        <f>CONCATENATE(TRIM(A4),TRIM(B4),TRIM(C4))</f>
        <v/>
      </c>
      <c r="AI4" s="220">
        <f>MATCH(AH4,AH:AH,0)</f>
        <v>4</v>
      </c>
      <c r="AJ4" s="222">
        <f>IF(AH4="",0,IF(ROW(AH4)=AI4,0,AI4))</f>
        <v>0</v>
      </c>
      <c r="AK4" s="299" t="str">
        <f>IF(ISERROR(LOOKUP(E4,WKNrListe,Übersicht!$R$7:$R$46)),"-",LOOKUP(E4,WKNrListe,Übersicht!$R$7:$R$46))</f>
        <v>-</v>
      </c>
      <c r="AL4" s="299" t="str">
        <f>IF(E4="","-",E4)</f>
        <v>-</v>
      </c>
      <c r="AM4" s="221" t="str">
        <f>IF((AJ4=0)*(AK4=1),"J","-")</f>
        <v>-</v>
      </c>
    </row>
    <row r="5" spans="1:39" s="174" customFormat="1" ht="15" customHeight="1">
      <c r="A5" s="63"/>
      <c r="B5" s="63"/>
      <c r="C5" s="84"/>
      <c r="D5" s="85"/>
      <c r="E5" s="60"/>
      <c r="F5" s="62"/>
      <c r="G5" s="62"/>
      <c r="H5" s="62"/>
      <c r="I5" s="62"/>
      <c r="J5" s="62"/>
      <c r="K5" s="62"/>
      <c r="L5" s="62"/>
      <c r="M5" s="62"/>
      <c r="N5" s="62"/>
      <c r="O5" s="62"/>
      <c r="P5" s="62"/>
      <c r="Q5" s="62"/>
      <c r="R5" s="62"/>
      <c r="S5" s="258"/>
      <c r="T5" s="248" t="str">
        <f>IF(AND(OR(ISTEXT(A5),ISTEXT(B5),NOT(ISBLANK(C5)),NOT(ISBLANK(D5)),NOT(ISBLANK(E5))),OR(ISBLANK(A5),ISBLANK(B5),ISBLANK(C5),ISBLANK(E5))),"unvollständig","")</f>
        <v/>
      </c>
      <c r="U5" s="249" t="str">
        <f>IF(ISBLANK(C5),"",YEAR(C5))</f>
        <v/>
      </c>
      <c r="V5" s="294" t="str">
        <f t="shared" ref="V5:V68" si="1">IF(((AK5="-")*(F5=""))+((AK5=1)*(F5&lt;&gt;""))+(Y5="WK falsch"),"",IF((AK5=1)*(F5=""),"Mannsch-Nr fehlt","Mannsch-Nr entf"))</f>
        <v/>
      </c>
      <c r="W5" s="294" t="str">
        <f>IF(((E5="")+(F5="")),"",IF(VLOOKUP(F5,Mannschaften!$A$1:$B$54,2,FALSE)&lt;&gt;E5,"Reiter Mannschaften füllen",""))</f>
        <v/>
      </c>
      <c r="X5" s="248" t="str">
        <f>IF(ISBLANK(C5),"",IF((U5&gt;(LOOKUP(E5,WKNrListe,Übersicht!$O$7:$O$46)))+(U5&lt;(LOOKUP(E5,WKNrListe,Übersicht!$P$7:$P$46))),"JG falsch",""))</f>
        <v/>
      </c>
      <c r="Y5" s="255" t="str">
        <f>IF((A5="")*(B5=""),"",IF(ISERROR(MATCH(E5,WKNrListe,0)),"WK falsch",LOOKUP(E5,WKNrListe,Übersicht!$B$7:$B$46)))</f>
        <v/>
      </c>
      <c r="Z5" s="269" t="str">
        <f>IF(((AJ5=0)*(AH5&lt;&gt;"")*(AK5="-"))+((AJ5&lt;&gt;0)*(AH5&lt;&gt;"")*(AK5="-")),IF(AG5="X",Übersicht!$C$70,Übersicht!$C$69),"-")</f>
        <v>-</v>
      </c>
      <c r="AA5" s="252" t="str">
        <f>IF((($A5="")*($B5=""))+((MID($Y5,1,4)&lt;&gt;"Wahl")*(Deckblatt!$C$14='WK-Vorlagen'!$C$82))+(Deckblatt!$C$14&lt;&gt;'WK-Vorlagen'!$C$82),"",IF(ISERROR(MATCH(VALUE(MID(G5,1,2)),Schwierigkeitsstufen!$G$7:$G$19,0)),"Gerät falsch",LOOKUP(VALUE(MID(G5,1,2)),Schwierigkeitsstufen!$G$7:$G$19,Schwierigkeitsstufen!$H$7:$H$19)))</f>
        <v/>
      </c>
      <c r="AB5" s="250" t="str">
        <f>IF((($A5="")*($B5=""))+((MID($Y5,1,4)&lt;&gt;"Wahl")*(Deckblatt!$C$14='WK-Vorlagen'!$C$82))+(Deckblatt!$C$14&lt;&gt;'WK-Vorlagen'!$C$82),"",IF(ISERROR(MATCH(VALUE(MID(H5,1,2)),Schwierigkeitsstufen!$G$7:$G$19,0)),"Gerät falsch",LOOKUP(VALUE(MID(H5,1,2)),Schwierigkeitsstufen!$G$7:$G$19,Schwierigkeitsstufen!$H$7:$H$19)))</f>
        <v/>
      </c>
      <c r="AC5" s="250" t="str">
        <f>IF((($A5="")*($B5=""))+((MID($Y5,1,4)&lt;&gt;"Wahl")*(Deckblatt!$C$14='WK-Vorlagen'!$C$82))+(Deckblatt!$C$14&lt;&gt;'WK-Vorlagen'!$C$82),"",IF(ISERROR(MATCH(VALUE(MID(I5,1,2)),Schwierigkeitsstufen!$G$7:$G$19,0)),"Gerät falsch",LOOKUP(VALUE(MID(I5,1,2)),Schwierigkeitsstufen!$G$7:$G$19,Schwierigkeitsstufen!$H$7:$H$19)))</f>
        <v/>
      </c>
      <c r="AD5" s="251" t="str">
        <f>IF((($A5="")*($B5=""))+((MID($Y5,1,4)&lt;&gt;"Wahl")*(Deckblatt!$C$14='WK-Vorlagen'!$C$82))+(Deckblatt!$C$14&lt;&gt;'WK-Vorlagen'!$C$82),"",IF(ISERROR(MATCH(VALUE(MID(J5,1,2)),Schwierigkeitsstufen!$G$7:$G$19,0)),"Gerät falsch",LOOKUP(VALUE(MID(J5,1,2)),Schwierigkeitsstufen!$G$7:$G$19,Schwierigkeitsstufen!$H$7:$H$19)))</f>
        <v/>
      </c>
      <c r="AE5" s="260"/>
      <c r="AF5" s="195" t="s">
        <v>522</v>
      </c>
      <c r="AG5" s="221" t="str">
        <f t="shared" si="0"/>
        <v/>
      </c>
      <c r="AH5" s="222" t="str">
        <f>CONCATENATE(TRIM(A5),TRIM(B5),TRIM(C5))</f>
        <v/>
      </c>
      <c r="AI5" s="220">
        <f>MATCH(AH5,AH:AH,0)</f>
        <v>4</v>
      </c>
      <c r="AJ5" s="222">
        <f>IF(AH5="",0,IF(ROW(AH5)=AI5,0,AI5))</f>
        <v>0</v>
      </c>
      <c r="AK5" s="299" t="str">
        <f>IF(ISERROR(LOOKUP(E5,WKNrListe,Übersicht!$R$7:$R$46)),"-",LOOKUP(E5,WKNrListe,Übersicht!$R$7:$R$46))</f>
        <v>-</v>
      </c>
      <c r="AL5" s="299" t="str">
        <f>IF(E5="","-",E5)</f>
        <v>-</v>
      </c>
      <c r="AM5" s="221" t="str">
        <f>IF((AJ5=0)*(AK5=1),"J","-")</f>
        <v>-</v>
      </c>
    </row>
    <row r="6" spans="1:39" s="174" customFormat="1" ht="15" customHeight="1">
      <c r="A6" s="63"/>
      <c r="B6" s="63"/>
      <c r="C6" s="84"/>
      <c r="D6" s="85"/>
      <c r="E6" s="60"/>
      <c r="F6" s="62"/>
      <c r="G6" s="62"/>
      <c r="H6" s="62"/>
      <c r="I6" s="62"/>
      <c r="J6" s="62"/>
      <c r="K6" s="62"/>
      <c r="L6" s="62"/>
      <c r="M6" s="62"/>
      <c r="N6" s="62"/>
      <c r="O6" s="62"/>
      <c r="P6" s="62"/>
      <c r="Q6" s="62"/>
      <c r="R6" s="62"/>
      <c r="S6" s="258"/>
      <c r="T6" s="248" t="str">
        <f>IF(AND(OR(ISTEXT(A6),ISTEXT(B6),NOT(ISBLANK(C6)),NOT(ISBLANK(D6)),NOT(ISBLANK(E6))),OR(ISBLANK(A6),ISBLANK(B6),ISBLANK(C6),ISBLANK(E6))),"unvollständig","")</f>
        <v/>
      </c>
      <c r="U6" s="249" t="str">
        <f>IF(ISBLANK(C6),"",YEAR(C6))</f>
        <v/>
      </c>
      <c r="V6" s="294" t="str">
        <f t="shared" si="1"/>
        <v/>
      </c>
      <c r="W6" s="294" t="str">
        <f>IF(((E6="")+(F6="")),"",IF(VLOOKUP(F6,Mannschaften!$A$1:$B$54,2,FALSE)&lt;&gt;E6,"Reiter Mannschaften füllen",""))</f>
        <v/>
      </c>
      <c r="X6" s="248" t="str">
        <f>IF(ISBLANK(C6),"",IF((U6&gt;(LOOKUP(E6,WKNrListe,Übersicht!$O$7:$O$46)))+(U6&lt;(LOOKUP(E6,WKNrListe,Übersicht!$P$7:$P$46))),"JG falsch",""))</f>
        <v/>
      </c>
      <c r="Y6" s="255" t="str">
        <f>IF((A6="")*(B6=""),"",IF(ISERROR(MATCH(E6,WKNrListe,0)),"WK falsch",LOOKUP(E6,WKNrListe,Übersicht!$B$7:$B$46)))</f>
        <v/>
      </c>
      <c r="Z6" s="269" t="str">
        <f>IF(((AJ6=0)*(AH6&lt;&gt;"")*(AK6="-"))+((AJ6&lt;&gt;0)*(AH6&lt;&gt;"")*(AK6="-")),IF(AG6="X",Übersicht!$C$70,Übersicht!$C$69),"-")</f>
        <v>-</v>
      </c>
      <c r="AA6" s="252" t="str">
        <f>IF((($A6="")*($B6=""))+((MID($Y6,1,4)&lt;&gt;"Wahl")*(Deckblatt!$C$14='WK-Vorlagen'!$C$82))+(Deckblatt!$C$14&lt;&gt;'WK-Vorlagen'!$C$82),"",IF(ISERROR(MATCH(VALUE(MID(G6,1,2)),Schwierigkeitsstufen!$G$7:$G$19,0)),"Gerät falsch",LOOKUP(VALUE(MID(G6,1,2)),Schwierigkeitsstufen!$G$7:$G$19,Schwierigkeitsstufen!$H$7:$H$19)))</f>
        <v/>
      </c>
      <c r="AB6" s="250" t="str">
        <f>IF((($A6="")*($B6=""))+((MID($Y6,1,4)&lt;&gt;"Wahl")*(Deckblatt!$C$14='WK-Vorlagen'!$C$82))+(Deckblatt!$C$14&lt;&gt;'WK-Vorlagen'!$C$82),"",IF(ISERROR(MATCH(VALUE(MID(H6,1,2)),Schwierigkeitsstufen!$G$7:$G$19,0)),"Gerät falsch",LOOKUP(VALUE(MID(H6,1,2)),Schwierigkeitsstufen!$G$7:$G$19,Schwierigkeitsstufen!$H$7:$H$19)))</f>
        <v/>
      </c>
      <c r="AC6" s="250" t="str">
        <f>IF((($A6="")*($B6=""))+((MID($Y6,1,4)&lt;&gt;"Wahl")*(Deckblatt!$C$14='WK-Vorlagen'!$C$82))+(Deckblatt!$C$14&lt;&gt;'WK-Vorlagen'!$C$82),"",IF(ISERROR(MATCH(VALUE(MID(I6,1,2)),Schwierigkeitsstufen!$G$7:$G$19,0)),"Gerät falsch",LOOKUP(VALUE(MID(I6,1,2)),Schwierigkeitsstufen!$G$7:$G$19,Schwierigkeitsstufen!$H$7:$H$19)))</f>
        <v/>
      </c>
      <c r="AD6" s="251" t="str">
        <f>IF((($A6="")*($B6=""))+((MID($Y6,1,4)&lt;&gt;"Wahl")*(Deckblatt!$C$14='WK-Vorlagen'!$C$82))+(Deckblatt!$C$14&lt;&gt;'WK-Vorlagen'!$C$82),"",IF(ISERROR(MATCH(VALUE(MID(J6,1,2)),Schwierigkeitsstufen!$G$7:$G$19,0)),"Gerät falsch",LOOKUP(VALUE(MID(J6,1,2)),Schwierigkeitsstufen!$G$7:$G$19,Schwierigkeitsstufen!$H$7:$H$19)))</f>
        <v/>
      </c>
      <c r="AE6" s="211"/>
      <c r="AF6" s="195" t="s">
        <v>336</v>
      </c>
      <c r="AG6" s="221" t="str">
        <f t="shared" si="0"/>
        <v/>
      </c>
      <c r="AH6" s="222" t="str">
        <f>CONCATENATE(TRIM(A6),TRIM(B6),TRIM(C6))</f>
        <v/>
      </c>
      <c r="AI6" s="220">
        <f>MATCH(AH6,AH:AH,0)</f>
        <v>4</v>
      </c>
      <c r="AJ6" s="222">
        <f>IF(AH6="",0,IF(ROW(AH6)=AI6,0,AI6))</f>
        <v>0</v>
      </c>
      <c r="AK6" s="299" t="str">
        <f>IF(ISERROR(LOOKUP(E6,WKNrListe,Übersicht!$R$7:$R$46)),"-",LOOKUP(E6,WKNrListe,Übersicht!$R$7:$R$46))</f>
        <v>-</v>
      </c>
      <c r="AL6" s="299" t="str">
        <f t="shared" ref="AL6:AL69" si="2">IF(E6="","-",E6)</f>
        <v>-</v>
      </c>
      <c r="AM6" s="303"/>
    </row>
    <row r="7" spans="1:39" s="174" customFormat="1" ht="15" customHeight="1">
      <c r="A7" s="63"/>
      <c r="B7" s="63"/>
      <c r="C7" s="84"/>
      <c r="D7" s="85"/>
      <c r="E7" s="60"/>
      <c r="F7" s="62"/>
      <c r="G7" s="62"/>
      <c r="H7" s="62"/>
      <c r="I7" s="62"/>
      <c r="J7" s="62"/>
      <c r="K7" s="62"/>
      <c r="L7" s="62"/>
      <c r="M7" s="62"/>
      <c r="N7" s="62"/>
      <c r="O7" s="62"/>
      <c r="P7" s="62"/>
      <c r="Q7" s="62"/>
      <c r="R7" s="62"/>
      <c r="S7" s="258"/>
      <c r="T7" s="248" t="str">
        <f>IF(AND(OR(ISTEXT(A7),ISTEXT(B7),NOT(ISBLANK(C7)),NOT(ISBLANK(D7)),NOT(ISBLANK(E7))),OR(ISBLANK(A7),ISBLANK(B7),ISBLANK(C7),ISBLANK(E7))),"unvollständig","")</f>
        <v/>
      </c>
      <c r="U7" s="249" t="str">
        <f>IF(ISBLANK(C7),"",YEAR(C7))</f>
        <v/>
      </c>
      <c r="V7" s="294" t="str">
        <f t="shared" si="1"/>
        <v/>
      </c>
      <c r="W7" s="294" t="str">
        <f>IF(((E7="")+(F7="")),"",IF(VLOOKUP(F7,Mannschaften!$A$1:$B$54,2,FALSE)&lt;&gt;E7,"Reiter Mannschaften füllen",""))</f>
        <v/>
      </c>
      <c r="X7" s="248" t="str">
        <f>IF(ISBLANK(C7),"",IF((U7&gt;(LOOKUP(E7,WKNrListe,Übersicht!$O$7:$O$46)))+(U7&lt;(LOOKUP(E7,WKNrListe,Übersicht!$P$7:$P$46))),"JG falsch",""))</f>
        <v/>
      </c>
      <c r="Y7" s="255" t="str">
        <f>IF((A7="")*(B7=""),"",IF(ISERROR(MATCH(E7,WKNrListe,0)),"WK falsch",LOOKUP(E7,WKNrListe,Übersicht!$B$7:$B$46)))</f>
        <v/>
      </c>
      <c r="Z7" s="269" t="str">
        <f>IF(((AJ7=0)*(AH7&lt;&gt;"")*(AK7="-"))+((AJ7&lt;&gt;0)*(AH7&lt;&gt;"")*(AK7="-")),IF(AG7="X",Übersicht!$C$70,Übersicht!$C$69),"-")</f>
        <v>-</v>
      </c>
      <c r="AA7" s="252" t="str">
        <f>IF((($A7="")*($B7=""))+((MID($Y7,1,4)&lt;&gt;"Wahl")*(Deckblatt!$C$14='WK-Vorlagen'!$C$82))+(Deckblatt!$C$14&lt;&gt;'WK-Vorlagen'!$C$82),"",IF(ISERROR(MATCH(VALUE(MID(G7,1,2)),Schwierigkeitsstufen!$G$7:$G$19,0)),"Gerät falsch",LOOKUP(VALUE(MID(G7,1,2)),Schwierigkeitsstufen!$G$7:$G$19,Schwierigkeitsstufen!$H$7:$H$19)))</f>
        <v/>
      </c>
      <c r="AB7" s="250" t="str">
        <f>IF((($A7="")*($B7=""))+((MID($Y7,1,4)&lt;&gt;"Wahl")*(Deckblatt!$C$14='WK-Vorlagen'!$C$82))+(Deckblatt!$C$14&lt;&gt;'WK-Vorlagen'!$C$82),"",IF(ISERROR(MATCH(VALUE(MID(H7,1,2)),Schwierigkeitsstufen!$G$7:$G$19,0)),"Gerät falsch",LOOKUP(VALUE(MID(H7,1,2)),Schwierigkeitsstufen!$G$7:$G$19,Schwierigkeitsstufen!$H$7:$H$19)))</f>
        <v/>
      </c>
      <c r="AC7" s="250" t="str">
        <f>IF((($A7="")*($B7=""))+((MID($Y7,1,4)&lt;&gt;"Wahl")*(Deckblatt!$C$14='WK-Vorlagen'!$C$82))+(Deckblatt!$C$14&lt;&gt;'WK-Vorlagen'!$C$82),"",IF(ISERROR(MATCH(VALUE(MID(I7,1,2)),Schwierigkeitsstufen!$G$7:$G$19,0)),"Gerät falsch",LOOKUP(VALUE(MID(I7,1,2)),Schwierigkeitsstufen!$G$7:$G$19,Schwierigkeitsstufen!$H$7:$H$19)))</f>
        <v/>
      </c>
      <c r="AD7" s="251" t="str">
        <f>IF((($A7="")*($B7=""))+((MID($Y7,1,4)&lt;&gt;"Wahl")*(Deckblatt!$C$14='WK-Vorlagen'!$C$82))+(Deckblatt!$C$14&lt;&gt;'WK-Vorlagen'!$C$82),"",IF(ISERROR(MATCH(VALUE(MID(J7,1,2)),Schwierigkeitsstufen!$G$7:$G$19,0)),"Gerät falsch",LOOKUP(VALUE(MID(J7,1,2)),Schwierigkeitsstufen!$G$7:$G$19,Schwierigkeitsstufen!$H$7:$H$19)))</f>
        <v/>
      </c>
      <c r="AE7" s="211"/>
      <c r="AG7" s="221" t="str">
        <f t="shared" si="0"/>
        <v/>
      </c>
      <c r="AH7" s="222" t="str">
        <f>CONCATENATE(TRIM(A7),TRIM(B7),TRIM(C7))</f>
        <v/>
      </c>
      <c r="AI7" s="220">
        <f>MATCH(AH7,AH:AH,0)</f>
        <v>4</v>
      </c>
      <c r="AJ7" s="222">
        <f>IF(AH7="",0,IF(ROW(AH7)=AI7,0,AI7))</f>
        <v>0</v>
      </c>
      <c r="AK7" s="299" t="str">
        <f>IF(ISERROR(LOOKUP(E7,WKNrListe,Übersicht!$R$7:$R$46)),"-",LOOKUP(E7,WKNrListe,Übersicht!$R$7:$R$46))</f>
        <v>-</v>
      </c>
      <c r="AL7" s="299" t="str">
        <f t="shared" si="2"/>
        <v>-</v>
      </c>
      <c r="AM7" s="303"/>
    </row>
    <row r="8" spans="1:39" s="174" customFormat="1" ht="15" customHeight="1">
      <c r="A8" s="63"/>
      <c r="B8" s="63"/>
      <c r="C8" s="84"/>
      <c r="D8" s="85"/>
      <c r="E8" s="60"/>
      <c r="F8" s="62"/>
      <c r="G8" s="62"/>
      <c r="H8" s="62"/>
      <c r="I8" s="62"/>
      <c r="J8" s="62"/>
      <c r="K8" s="62"/>
      <c r="L8" s="62"/>
      <c r="M8" s="62"/>
      <c r="N8" s="62"/>
      <c r="O8" s="62"/>
      <c r="P8" s="62"/>
      <c r="Q8" s="62"/>
      <c r="R8" s="62"/>
      <c r="S8" s="258"/>
      <c r="T8" s="248" t="str">
        <f t="shared" ref="T8:T69" si="3">IF(AND(OR(ISTEXT(A8),ISTEXT(B8),NOT(ISBLANK(C8)),NOT(ISBLANK(D8)),NOT(ISBLANK(E8))),OR(ISBLANK(A8),ISBLANK(B8),ISBLANK(C8),ISBLANK(E8))),"unvollständig","")</f>
        <v/>
      </c>
      <c r="U8" s="249" t="str">
        <f t="shared" ref="U8:U69" si="4">IF(ISBLANK(C8),"",YEAR(C8))</f>
        <v/>
      </c>
      <c r="V8" s="294" t="str">
        <f t="shared" si="1"/>
        <v/>
      </c>
      <c r="W8" s="294" t="str">
        <f>IF(((E8="")+(F8="")),"",IF(VLOOKUP(F8,Mannschaften!$A$1:$B$54,2,FALSE)&lt;&gt;E8,"Reiter Mannschaften füllen",""))</f>
        <v/>
      </c>
      <c r="X8" s="248" t="str">
        <f>IF(ISBLANK(C8),"",IF((U8&gt;(LOOKUP(E8,WKNrListe,Übersicht!$O$7:$O$46)))+(U8&lt;(LOOKUP(E8,WKNrListe,Übersicht!$P$7:$P$46))),"JG falsch",""))</f>
        <v/>
      </c>
      <c r="Y8" s="255" t="str">
        <f>IF((A8="")*(B8=""),"",IF(ISERROR(MATCH(E8,WKNrListe,0)),"WK falsch",LOOKUP(E8,WKNrListe,Übersicht!$B$7:$B$46)))</f>
        <v/>
      </c>
      <c r="Z8" s="269" t="str">
        <f>IF(((AJ8=0)*(AH8&lt;&gt;"")*(AK8="-"))+((AJ8&lt;&gt;0)*(AH8&lt;&gt;"")*(AK8="-")),IF(AG8="X",Übersicht!$C$70,Übersicht!$C$69),"-")</f>
        <v>-</v>
      </c>
      <c r="AA8" s="252" t="str">
        <f>IF((($A8="")*($B8=""))+((MID($Y8,1,4)&lt;&gt;"Wahl")*(Deckblatt!$C$14='WK-Vorlagen'!$C$82))+(Deckblatt!$C$14&lt;&gt;'WK-Vorlagen'!$C$82),"",IF(ISERROR(MATCH(VALUE(MID(G8,1,2)),Schwierigkeitsstufen!$G$7:$G$19,0)),"Gerät falsch",LOOKUP(VALUE(MID(G8,1,2)),Schwierigkeitsstufen!$G$7:$G$19,Schwierigkeitsstufen!$H$7:$H$19)))</f>
        <v/>
      </c>
      <c r="AB8" s="250" t="str">
        <f>IF((($A8="")*($B8=""))+((MID($Y8,1,4)&lt;&gt;"Wahl")*(Deckblatt!$C$14='WK-Vorlagen'!$C$82))+(Deckblatt!$C$14&lt;&gt;'WK-Vorlagen'!$C$82),"",IF(ISERROR(MATCH(VALUE(MID(H8,1,2)),Schwierigkeitsstufen!$G$7:$G$19,0)),"Gerät falsch",LOOKUP(VALUE(MID(H8,1,2)),Schwierigkeitsstufen!$G$7:$G$19,Schwierigkeitsstufen!$H$7:$H$19)))</f>
        <v/>
      </c>
      <c r="AC8" s="250" t="str">
        <f>IF((($A8="")*($B8=""))+((MID($Y8,1,4)&lt;&gt;"Wahl")*(Deckblatt!$C$14='WK-Vorlagen'!$C$82))+(Deckblatt!$C$14&lt;&gt;'WK-Vorlagen'!$C$82),"",IF(ISERROR(MATCH(VALUE(MID(I8,1,2)),Schwierigkeitsstufen!$G$7:$G$19,0)),"Gerät falsch",LOOKUP(VALUE(MID(I8,1,2)),Schwierigkeitsstufen!$G$7:$G$19,Schwierigkeitsstufen!$H$7:$H$19)))</f>
        <v/>
      </c>
      <c r="AD8" s="251" t="str">
        <f>IF((($A8="")*($B8=""))+((MID($Y8,1,4)&lt;&gt;"Wahl")*(Deckblatt!$C$14='WK-Vorlagen'!$C$82))+(Deckblatt!$C$14&lt;&gt;'WK-Vorlagen'!$C$82),"",IF(ISERROR(MATCH(VALUE(MID(J8,1,2)),Schwierigkeitsstufen!$G$7:$G$19,0)),"Gerät falsch",LOOKUP(VALUE(MID(J8,1,2)),Schwierigkeitsstufen!$G$7:$G$19,Schwierigkeitsstufen!$H$7:$H$19)))</f>
        <v/>
      </c>
      <c r="AE8" s="211"/>
      <c r="AF8" s="236" t="s">
        <v>438</v>
      </c>
      <c r="AG8" s="221" t="str">
        <f t="shared" si="0"/>
        <v/>
      </c>
      <c r="AH8" s="222" t="str">
        <f t="shared" ref="AH8:AH68" si="5">CONCATENATE(TRIM(A8),TRIM(B8),TRIM(C8))</f>
        <v/>
      </c>
      <c r="AI8" s="220">
        <f t="shared" ref="AI8:AI70" si="6">MATCH(AH8,AH:AH,0)</f>
        <v>4</v>
      </c>
      <c r="AJ8" s="222">
        <f t="shared" ref="AJ8:AJ68" si="7">IF(AH8="",0,IF(ROW(AH8)=AI8,0,AI8))</f>
        <v>0</v>
      </c>
      <c r="AK8" s="299" t="str">
        <f>IF(ISERROR(LOOKUP(E8,WKNrListe,Übersicht!$R$7:$R$46)),"-",LOOKUP(E8,WKNrListe,Übersicht!$R$7:$R$46))</f>
        <v>-</v>
      </c>
      <c r="AL8" s="299" t="str">
        <f t="shared" si="2"/>
        <v>-</v>
      </c>
      <c r="AM8" s="303"/>
    </row>
    <row r="9" spans="1:39" s="174" customFormat="1" ht="15" customHeight="1">
      <c r="A9" s="63"/>
      <c r="B9" s="63"/>
      <c r="C9" s="84"/>
      <c r="D9" s="85"/>
      <c r="E9" s="60"/>
      <c r="F9" s="62"/>
      <c r="G9" s="62"/>
      <c r="H9" s="62"/>
      <c r="I9" s="62"/>
      <c r="J9" s="62"/>
      <c r="K9" s="62"/>
      <c r="L9" s="62"/>
      <c r="M9" s="62"/>
      <c r="N9" s="62"/>
      <c r="O9" s="62"/>
      <c r="P9" s="62"/>
      <c r="Q9" s="62"/>
      <c r="R9" s="62"/>
      <c r="S9" s="258"/>
      <c r="T9" s="248" t="str">
        <f t="shared" si="3"/>
        <v/>
      </c>
      <c r="U9" s="249" t="str">
        <f t="shared" si="4"/>
        <v/>
      </c>
      <c r="V9" s="294" t="str">
        <f t="shared" si="1"/>
        <v/>
      </c>
      <c r="W9" s="294" t="str">
        <f>IF(((E9="")+(F9="")),"",IF(VLOOKUP(F9,Mannschaften!$A$1:$B$54,2,FALSE)&lt;&gt;E9,"Reiter Mannschaften füllen",""))</f>
        <v/>
      </c>
      <c r="X9" s="248" t="str">
        <f>IF(ISBLANK(C9),"",IF((U9&gt;(LOOKUP(E9,WKNrListe,Übersicht!$O$7:$O$46)))+(U9&lt;(LOOKUP(E9,WKNrListe,Übersicht!$P$7:$P$46))),"JG falsch",""))</f>
        <v/>
      </c>
      <c r="Y9" s="255" t="str">
        <f>IF((A9="")*(B9=""),"",IF(ISERROR(MATCH(E9,WKNrListe,0)),"WK falsch",LOOKUP(E9,WKNrListe,Übersicht!$B$7:$B$46)))</f>
        <v/>
      </c>
      <c r="Z9" s="269" t="str">
        <f>IF(((AJ9=0)*(AH9&lt;&gt;"")*(AK9="-"))+((AJ9&lt;&gt;0)*(AH9&lt;&gt;"")*(AK9="-")),IF(AG9="X",Übersicht!$C$70,Übersicht!$C$69),"-")</f>
        <v>-</v>
      </c>
      <c r="AA9" s="252" t="str">
        <f>IF((($A9="")*($B9=""))+((MID($Y9,1,4)&lt;&gt;"Wahl")*(Deckblatt!$C$14='WK-Vorlagen'!$C$82))+(Deckblatt!$C$14&lt;&gt;'WK-Vorlagen'!$C$82),"",IF(ISERROR(MATCH(VALUE(MID(G9,1,2)),Schwierigkeitsstufen!$G$7:$G$19,0)),"Gerät falsch",LOOKUP(VALUE(MID(G9,1,2)),Schwierigkeitsstufen!$G$7:$G$19,Schwierigkeitsstufen!$H$7:$H$19)))</f>
        <v/>
      </c>
      <c r="AB9" s="250" t="str">
        <f>IF((($A9="")*($B9=""))+((MID($Y9,1,4)&lt;&gt;"Wahl")*(Deckblatt!$C$14='WK-Vorlagen'!$C$82))+(Deckblatt!$C$14&lt;&gt;'WK-Vorlagen'!$C$82),"",IF(ISERROR(MATCH(VALUE(MID(H9,1,2)),Schwierigkeitsstufen!$G$7:$G$19,0)),"Gerät falsch",LOOKUP(VALUE(MID(H9,1,2)),Schwierigkeitsstufen!$G$7:$G$19,Schwierigkeitsstufen!$H$7:$H$19)))</f>
        <v/>
      </c>
      <c r="AC9" s="250" t="str">
        <f>IF((($A9="")*($B9=""))+((MID($Y9,1,4)&lt;&gt;"Wahl")*(Deckblatt!$C$14='WK-Vorlagen'!$C$82))+(Deckblatt!$C$14&lt;&gt;'WK-Vorlagen'!$C$82),"",IF(ISERROR(MATCH(VALUE(MID(I9,1,2)),Schwierigkeitsstufen!$G$7:$G$19,0)),"Gerät falsch",LOOKUP(VALUE(MID(I9,1,2)),Schwierigkeitsstufen!$G$7:$G$19,Schwierigkeitsstufen!$H$7:$H$19)))</f>
        <v/>
      </c>
      <c r="AD9" s="251" t="str">
        <f>IF((($A9="")*($B9=""))+((MID($Y9,1,4)&lt;&gt;"Wahl")*(Deckblatt!$C$14='WK-Vorlagen'!$C$82))+(Deckblatt!$C$14&lt;&gt;'WK-Vorlagen'!$C$82),"",IF(ISERROR(MATCH(VALUE(MID(J9,1,2)),Schwierigkeitsstufen!$G$7:$G$19,0)),"Gerät falsch",LOOKUP(VALUE(MID(J9,1,2)),Schwierigkeitsstufen!$G$7:$G$19,Schwierigkeitsstufen!$H$7:$H$19)))</f>
        <v/>
      </c>
      <c r="AE9" s="211"/>
      <c r="AF9" s="236" t="s">
        <v>439</v>
      </c>
      <c r="AG9" s="221" t="str">
        <f t="shared" si="0"/>
        <v/>
      </c>
      <c r="AH9" s="222" t="str">
        <f t="shared" si="5"/>
        <v/>
      </c>
      <c r="AI9" s="220">
        <f t="shared" si="6"/>
        <v>4</v>
      </c>
      <c r="AJ9" s="222">
        <f t="shared" si="7"/>
        <v>0</v>
      </c>
      <c r="AK9" s="299" t="str">
        <f>IF(ISERROR(LOOKUP(E9,WKNrListe,Übersicht!$R$7:$R$46)),"-",LOOKUP(E9,WKNrListe,Übersicht!$R$7:$R$46))</f>
        <v>-</v>
      </c>
      <c r="AL9" s="299" t="str">
        <f t="shared" si="2"/>
        <v>-</v>
      </c>
      <c r="AM9" s="303"/>
    </row>
    <row r="10" spans="1:39" s="174" customFormat="1" ht="15" customHeight="1">
      <c r="A10" s="63"/>
      <c r="B10" s="63"/>
      <c r="C10" s="84"/>
      <c r="D10" s="85"/>
      <c r="E10" s="60"/>
      <c r="F10" s="62"/>
      <c r="G10" s="62"/>
      <c r="H10" s="62"/>
      <c r="I10" s="62"/>
      <c r="J10" s="62"/>
      <c r="K10" s="62"/>
      <c r="L10" s="62"/>
      <c r="M10" s="62"/>
      <c r="N10" s="62"/>
      <c r="O10" s="62"/>
      <c r="P10" s="62"/>
      <c r="Q10" s="62"/>
      <c r="R10" s="62"/>
      <c r="S10" s="258"/>
      <c r="T10" s="248" t="str">
        <f t="shared" si="3"/>
        <v/>
      </c>
      <c r="U10" s="249" t="str">
        <f t="shared" si="4"/>
        <v/>
      </c>
      <c r="V10" s="294" t="str">
        <f t="shared" si="1"/>
        <v/>
      </c>
      <c r="W10" s="294" t="str">
        <f>IF(((E10="")+(F10="")),"",IF(VLOOKUP(F10,Mannschaften!$A$1:$B$54,2,FALSE)&lt;&gt;E10,"Reiter Mannschaften füllen",""))</f>
        <v/>
      </c>
      <c r="X10" s="248" t="str">
        <f>IF(ISBLANK(C10),"",IF((U10&gt;(LOOKUP(E10,WKNrListe,Übersicht!$O$7:$O$46)))+(U10&lt;(LOOKUP(E10,WKNrListe,Übersicht!$P$7:$P$46))),"JG falsch",""))</f>
        <v/>
      </c>
      <c r="Y10" s="255" t="str">
        <f>IF((A10="")*(B10=""),"",IF(ISERROR(MATCH(E10,WKNrListe,0)),"WK falsch",LOOKUP(E10,WKNrListe,Übersicht!$B$7:$B$46)))</f>
        <v/>
      </c>
      <c r="Z10" s="269" t="str">
        <f>IF(((AJ10=0)*(AH10&lt;&gt;"")*(AK10="-"))+((AJ10&lt;&gt;0)*(AH10&lt;&gt;"")*(AK10="-")),IF(AG10="X",Übersicht!$C$70,Übersicht!$C$69),"-")</f>
        <v>-</v>
      </c>
      <c r="AA10" s="252" t="str">
        <f>IF((($A10="")*($B10=""))+((MID($Y10,1,4)&lt;&gt;"Wahl")*(Deckblatt!$C$14='WK-Vorlagen'!$C$82))+(Deckblatt!$C$14&lt;&gt;'WK-Vorlagen'!$C$82),"",IF(ISERROR(MATCH(VALUE(MID(G10,1,2)),Schwierigkeitsstufen!$G$7:$G$19,0)),"Gerät falsch",LOOKUP(VALUE(MID(G10,1,2)),Schwierigkeitsstufen!$G$7:$G$19,Schwierigkeitsstufen!$H$7:$H$19)))</f>
        <v/>
      </c>
      <c r="AB10" s="250" t="str">
        <f>IF((($A10="")*($B10=""))+((MID($Y10,1,4)&lt;&gt;"Wahl")*(Deckblatt!$C$14='WK-Vorlagen'!$C$82))+(Deckblatt!$C$14&lt;&gt;'WK-Vorlagen'!$C$82),"",IF(ISERROR(MATCH(VALUE(MID(H10,1,2)),Schwierigkeitsstufen!$G$7:$G$19,0)),"Gerät falsch",LOOKUP(VALUE(MID(H10,1,2)),Schwierigkeitsstufen!$G$7:$G$19,Schwierigkeitsstufen!$H$7:$H$19)))</f>
        <v/>
      </c>
      <c r="AC10" s="250" t="str">
        <f>IF((($A10="")*($B10=""))+((MID($Y10,1,4)&lt;&gt;"Wahl")*(Deckblatt!$C$14='WK-Vorlagen'!$C$82))+(Deckblatt!$C$14&lt;&gt;'WK-Vorlagen'!$C$82),"",IF(ISERROR(MATCH(VALUE(MID(I10,1,2)),Schwierigkeitsstufen!$G$7:$G$19,0)),"Gerät falsch",LOOKUP(VALUE(MID(I10,1,2)),Schwierigkeitsstufen!$G$7:$G$19,Schwierigkeitsstufen!$H$7:$H$19)))</f>
        <v/>
      </c>
      <c r="AD10" s="251" t="str">
        <f>IF((($A10="")*($B10=""))+((MID($Y10,1,4)&lt;&gt;"Wahl")*(Deckblatt!$C$14='WK-Vorlagen'!$C$82))+(Deckblatt!$C$14&lt;&gt;'WK-Vorlagen'!$C$82),"",IF(ISERROR(MATCH(VALUE(MID(J10,1,2)),Schwierigkeitsstufen!$G$7:$G$19,0)),"Gerät falsch",LOOKUP(VALUE(MID(J10,1,2)),Schwierigkeitsstufen!$G$7:$G$19,Schwierigkeitsstufen!$H$7:$H$19)))</f>
        <v/>
      </c>
      <c r="AE10" s="211"/>
      <c r="AF10" s="236" t="s">
        <v>440</v>
      </c>
      <c r="AG10" s="221" t="str">
        <f t="shared" si="0"/>
        <v/>
      </c>
      <c r="AH10" s="222" t="str">
        <f t="shared" si="5"/>
        <v/>
      </c>
      <c r="AI10" s="220">
        <f t="shared" si="6"/>
        <v>4</v>
      </c>
      <c r="AJ10" s="222">
        <f t="shared" si="7"/>
        <v>0</v>
      </c>
      <c r="AK10" s="299" t="str">
        <f>IF(ISERROR(LOOKUP(E10,WKNrListe,Übersicht!$R$7:$R$46)),"-",LOOKUP(E10,WKNrListe,Übersicht!$R$7:$R$46))</f>
        <v>-</v>
      </c>
      <c r="AL10" s="299" t="str">
        <f t="shared" si="2"/>
        <v>-</v>
      </c>
      <c r="AM10" s="303"/>
    </row>
    <row r="11" spans="1:39" s="174" customFormat="1" ht="15" customHeight="1">
      <c r="A11" s="63"/>
      <c r="B11" s="63"/>
      <c r="C11" s="84"/>
      <c r="D11" s="85"/>
      <c r="E11" s="60"/>
      <c r="F11" s="62"/>
      <c r="G11" s="62"/>
      <c r="H11" s="62"/>
      <c r="I11" s="62"/>
      <c r="J11" s="62"/>
      <c r="K11" s="62"/>
      <c r="L11" s="62"/>
      <c r="M11" s="62"/>
      <c r="N11" s="62"/>
      <c r="O11" s="62"/>
      <c r="P11" s="62"/>
      <c r="Q11" s="62"/>
      <c r="R11" s="62"/>
      <c r="S11" s="258"/>
      <c r="T11" s="248" t="str">
        <f t="shared" si="3"/>
        <v/>
      </c>
      <c r="U11" s="249" t="str">
        <f t="shared" si="4"/>
        <v/>
      </c>
      <c r="V11" s="294" t="str">
        <f t="shared" si="1"/>
        <v/>
      </c>
      <c r="W11" s="312" t="str">
        <f>IF(((E11="")+(F11="")),"",IF(VLOOKUP(F11,Mannschaften!$A$1:$B$54,2,FALSE)&lt;&gt;E11,"Reiter Mannschaften füllen",""))</f>
        <v/>
      </c>
      <c r="X11" s="248" t="str">
        <f>IF(ISBLANK(C11),"",IF((U11&gt;(LOOKUP(E11,WKNrListe,Übersicht!$O$7:$O$46)))+(U11&lt;(LOOKUP(E11,WKNrListe,Übersicht!$P$7:$P$46))),"JG falsch",""))</f>
        <v/>
      </c>
      <c r="Y11" s="255" t="str">
        <f>IF((A11="")*(B11=""),"",IF(ISERROR(MATCH(E11,WKNrListe,0)),"WK falsch",LOOKUP(E11,WKNrListe,Übersicht!$B$7:$B$46)))</f>
        <v/>
      </c>
      <c r="Z11" s="269" t="str">
        <f>IF(((AJ11=0)*(AH11&lt;&gt;"")*(AK11="-"))+((AJ11&lt;&gt;0)*(AH11&lt;&gt;"")*(AK11="-")),IF(AG11="X",Übersicht!$C$70,Übersicht!$C$69),"-")</f>
        <v>-</v>
      </c>
      <c r="AA11" s="252" t="str">
        <f>IF((($A11="")*($B11=""))+((MID($Y11,1,4)&lt;&gt;"Wahl")*(Deckblatt!$C$14='WK-Vorlagen'!$C$82))+(Deckblatt!$C$14&lt;&gt;'WK-Vorlagen'!$C$82),"",IF(ISERROR(MATCH(VALUE(MID(G11,1,2)),Schwierigkeitsstufen!$G$7:$G$19,0)),"Gerät falsch",LOOKUP(VALUE(MID(G11,1,2)),Schwierigkeitsstufen!$G$7:$G$19,Schwierigkeitsstufen!$H$7:$H$19)))</f>
        <v/>
      </c>
      <c r="AB11" s="250" t="str">
        <f>IF((($A11="")*($B11=""))+((MID($Y11,1,4)&lt;&gt;"Wahl")*(Deckblatt!$C$14='WK-Vorlagen'!$C$82))+(Deckblatt!$C$14&lt;&gt;'WK-Vorlagen'!$C$82),"",IF(ISERROR(MATCH(VALUE(MID(H11,1,2)),Schwierigkeitsstufen!$G$7:$G$19,0)),"Gerät falsch",LOOKUP(VALUE(MID(H11,1,2)),Schwierigkeitsstufen!$G$7:$G$19,Schwierigkeitsstufen!$H$7:$H$19)))</f>
        <v/>
      </c>
      <c r="AC11" s="250" t="str">
        <f>IF((($A11="")*($B11=""))+((MID($Y11,1,4)&lt;&gt;"Wahl")*(Deckblatt!$C$14='WK-Vorlagen'!$C$82))+(Deckblatt!$C$14&lt;&gt;'WK-Vorlagen'!$C$82),"",IF(ISERROR(MATCH(VALUE(MID(I11,1,2)),Schwierigkeitsstufen!$G$7:$G$19,0)),"Gerät falsch",LOOKUP(VALUE(MID(I11,1,2)),Schwierigkeitsstufen!$G$7:$G$19,Schwierigkeitsstufen!$H$7:$H$19)))</f>
        <v/>
      </c>
      <c r="AD11" s="251" t="str">
        <f>IF((($A11="")*($B11=""))+((MID($Y11,1,4)&lt;&gt;"Wahl")*(Deckblatt!$C$14='WK-Vorlagen'!$C$82))+(Deckblatt!$C$14&lt;&gt;'WK-Vorlagen'!$C$82),"",IF(ISERROR(MATCH(VALUE(MID(J11,1,2)),Schwierigkeitsstufen!$G$7:$G$19,0)),"Gerät falsch",LOOKUP(VALUE(MID(J11,1,2)),Schwierigkeitsstufen!$G$7:$G$19,Schwierigkeitsstufen!$H$7:$H$19)))</f>
        <v/>
      </c>
      <c r="AE11" s="211"/>
      <c r="AF11" s="236" t="s">
        <v>503</v>
      </c>
      <c r="AG11" s="221" t="str">
        <f t="shared" si="0"/>
        <v/>
      </c>
      <c r="AH11" s="222" t="str">
        <f t="shared" si="5"/>
        <v/>
      </c>
      <c r="AI11" s="220">
        <f t="shared" si="6"/>
        <v>4</v>
      </c>
      <c r="AJ11" s="222">
        <f t="shared" si="7"/>
        <v>0</v>
      </c>
      <c r="AK11" s="299" t="str">
        <f>IF(ISERROR(LOOKUP(E11,WKNrListe,Übersicht!$R$7:$R$46)),"-",LOOKUP(E11,WKNrListe,Übersicht!$R$7:$R$46))</f>
        <v>-</v>
      </c>
      <c r="AL11" s="299" t="str">
        <f t="shared" si="2"/>
        <v>-</v>
      </c>
      <c r="AM11" s="303"/>
    </row>
    <row r="12" spans="1:39" s="174" customFormat="1" ht="15" customHeight="1">
      <c r="A12" s="63"/>
      <c r="B12" s="63"/>
      <c r="C12" s="84"/>
      <c r="D12" s="85"/>
      <c r="E12" s="60"/>
      <c r="F12" s="62"/>
      <c r="G12" s="62"/>
      <c r="H12" s="62"/>
      <c r="I12" s="62"/>
      <c r="J12" s="62"/>
      <c r="K12" s="62"/>
      <c r="L12" s="62"/>
      <c r="M12" s="62"/>
      <c r="N12" s="62"/>
      <c r="O12" s="62"/>
      <c r="P12" s="62"/>
      <c r="Q12" s="62"/>
      <c r="R12" s="62"/>
      <c r="S12" s="258"/>
      <c r="T12" s="248" t="str">
        <f t="shared" si="3"/>
        <v/>
      </c>
      <c r="U12" s="249" t="str">
        <f t="shared" si="4"/>
        <v/>
      </c>
      <c r="V12" s="294" t="str">
        <f t="shared" si="1"/>
        <v/>
      </c>
      <c r="W12" s="312" t="str">
        <f>IF(((E12="")+(F12="")),"",IF(VLOOKUP(F12,Mannschaften!$A$1:$B$54,2,FALSE)&lt;&gt;E12,"Reiter Mannschaften füllen",""))</f>
        <v/>
      </c>
      <c r="X12" s="248" t="str">
        <f>IF(ISBLANK(C12),"",IF((U12&gt;(LOOKUP(E12,WKNrListe,Übersicht!$O$7:$O$46)))+(U12&lt;(LOOKUP(E12,WKNrListe,Übersicht!$P$7:$P$46))),"JG falsch",""))</f>
        <v/>
      </c>
      <c r="Y12" s="255" t="str">
        <f>IF((A12="")*(B12=""),"",IF(ISERROR(MATCH(E12,WKNrListe,0)),"WK falsch",LOOKUP(E12,WKNrListe,Übersicht!$B$7:$B$46)))</f>
        <v/>
      </c>
      <c r="Z12" s="269" t="str">
        <f>IF(((AJ12=0)*(AH12&lt;&gt;"")*(AK12="-"))+((AJ12&lt;&gt;0)*(AH12&lt;&gt;"")*(AK12="-")),IF(AG12="X",Übersicht!$C$70,Übersicht!$C$69),"-")</f>
        <v>-</v>
      </c>
      <c r="AA12" s="252" t="str">
        <f>IF((($A12="")*($B12=""))+((MID($Y12,1,4)&lt;&gt;"Wahl")*(Deckblatt!$C$14='WK-Vorlagen'!$C$82))+(Deckblatt!$C$14&lt;&gt;'WK-Vorlagen'!$C$82),"",IF(ISERROR(MATCH(VALUE(MID(G12,1,2)),Schwierigkeitsstufen!$G$7:$G$19,0)),"Gerät falsch",LOOKUP(VALUE(MID(G12,1,2)),Schwierigkeitsstufen!$G$7:$G$19,Schwierigkeitsstufen!$H$7:$H$19)))</f>
        <v/>
      </c>
      <c r="AB12" s="250" t="str">
        <f>IF((($A12="")*($B12=""))+((MID($Y12,1,4)&lt;&gt;"Wahl")*(Deckblatt!$C$14='WK-Vorlagen'!$C$82))+(Deckblatt!$C$14&lt;&gt;'WK-Vorlagen'!$C$82),"",IF(ISERROR(MATCH(VALUE(MID(H12,1,2)),Schwierigkeitsstufen!$G$7:$G$19,0)),"Gerät falsch",LOOKUP(VALUE(MID(H12,1,2)),Schwierigkeitsstufen!$G$7:$G$19,Schwierigkeitsstufen!$H$7:$H$19)))</f>
        <v/>
      </c>
      <c r="AC12" s="250" t="str">
        <f>IF((($A12="")*($B12=""))+((MID($Y12,1,4)&lt;&gt;"Wahl")*(Deckblatt!$C$14='WK-Vorlagen'!$C$82))+(Deckblatt!$C$14&lt;&gt;'WK-Vorlagen'!$C$82),"",IF(ISERROR(MATCH(VALUE(MID(I12,1,2)),Schwierigkeitsstufen!$G$7:$G$19,0)),"Gerät falsch",LOOKUP(VALUE(MID(I12,1,2)),Schwierigkeitsstufen!$G$7:$G$19,Schwierigkeitsstufen!$H$7:$H$19)))</f>
        <v/>
      </c>
      <c r="AD12" s="251" t="str">
        <f>IF((($A12="")*($B12=""))+((MID($Y12,1,4)&lt;&gt;"Wahl")*(Deckblatt!$C$14='WK-Vorlagen'!$C$82))+(Deckblatt!$C$14&lt;&gt;'WK-Vorlagen'!$C$82),"",IF(ISERROR(MATCH(VALUE(MID(J12,1,2)),Schwierigkeitsstufen!$G$7:$G$19,0)),"Gerät falsch",LOOKUP(VALUE(MID(J12,1,2)),Schwierigkeitsstufen!$G$7:$G$19,Schwierigkeitsstufen!$H$7:$H$19)))</f>
        <v/>
      </c>
      <c r="AE12" s="211"/>
      <c r="AG12" s="221" t="str">
        <f t="shared" si="0"/>
        <v/>
      </c>
      <c r="AH12" s="222" t="str">
        <f t="shared" si="5"/>
        <v/>
      </c>
      <c r="AI12" s="220">
        <f t="shared" si="6"/>
        <v>4</v>
      </c>
      <c r="AJ12" s="222">
        <f t="shared" si="7"/>
        <v>0</v>
      </c>
      <c r="AK12" s="299" t="str">
        <f>IF(ISERROR(LOOKUP(E12,WKNrListe,Übersicht!$R$7:$R$46)),"-",LOOKUP(E12,WKNrListe,Übersicht!$R$7:$R$46))</f>
        <v>-</v>
      </c>
      <c r="AL12" s="299" t="str">
        <f t="shared" si="2"/>
        <v>-</v>
      </c>
      <c r="AM12" s="303"/>
    </row>
    <row r="13" spans="1:39" s="174" customFormat="1" ht="15" customHeight="1">
      <c r="A13" s="63"/>
      <c r="B13" s="63"/>
      <c r="C13" s="84"/>
      <c r="D13" s="85"/>
      <c r="E13" s="60"/>
      <c r="F13" s="62"/>
      <c r="G13" s="62"/>
      <c r="H13" s="62"/>
      <c r="I13" s="62"/>
      <c r="J13" s="62"/>
      <c r="K13" s="62"/>
      <c r="L13" s="62"/>
      <c r="M13" s="62"/>
      <c r="N13" s="62"/>
      <c r="O13" s="62"/>
      <c r="P13" s="62"/>
      <c r="Q13" s="62"/>
      <c r="R13" s="62"/>
      <c r="S13" s="258"/>
      <c r="T13" s="248" t="str">
        <f t="shared" si="3"/>
        <v/>
      </c>
      <c r="U13" s="249" t="str">
        <f t="shared" si="4"/>
        <v/>
      </c>
      <c r="V13" s="294" t="str">
        <f t="shared" si="1"/>
        <v/>
      </c>
      <c r="W13" s="312" t="str">
        <f>IF(((E13="")+(F13="")),"",IF(VLOOKUP(F13,Mannschaften!$A$1:$B$54,2,FALSE)&lt;&gt;E13,"Reiter Mannschaften füllen",""))</f>
        <v/>
      </c>
      <c r="X13" s="248" t="str">
        <f>IF(ISBLANK(C13),"",IF((U13&gt;(LOOKUP(E13,WKNrListe,Übersicht!$O$7:$O$46)))+(U13&lt;(LOOKUP(E13,WKNrListe,Übersicht!$P$7:$P$46))),"JG falsch",""))</f>
        <v/>
      </c>
      <c r="Y13" s="255" t="str">
        <f>IF((A13="")*(B13=""),"",IF(ISERROR(MATCH(E13,WKNrListe,0)),"WK falsch",LOOKUP(E13,WKNrListe,Übersicht!$B$7:$B$46)))</f>
        <v/>
      </c>
      <c r="Z13" s="269" t="str">
        <f>IF(((AJ13=0)*(AH13&lt;&gt;"")*(AK13="-"))+((AJ13&lt;&gt;0)*(AH13&lt;&gt;"")*(AK13="-")),IF(AG13="X",Übersicht!$C$70,Übersicht!$C$69),"-")</f>
        <v>-</v>
      </c>
      <c r="AA13" s="252" t="str">
        <f>IF((($A13="")*($B13=""))+((MID($Y13,1,4)&lt;&gt;"Wahl")*(Deckblatt!$C$14='WK-Vorlagen'!$C$82))+(Deckblatt!$C$14&lt;&gt;'WK-Vorlagen'!$C$82),"",IF(ISERROR(MATCH(VALUE(MID(G13,1,2)),Schwierigkeitsstufen!$G$7:$G$19,0)),"Gerät falsch",LOOKUP(VALUE(MID(G13,1,2)),Schwierigkeitsstufen!$G$7:$G$19,Schwierigkeitsstufen!$H$7:$H$19)))</f>
        <v/>
      </c>
      <c r="AB13" s="250" t="str">
        <f>IF((($A13="")*($B13=""))+((MID($Y13,1,4)&lt;&gt;"Wahl")*(Deckblatt!$C$14='WK-Vorlagen'!$C$82))+(Deckblatt!$C$14&lt;&gt;'WK-Vorlagen'!$C$82),"",IF(ISERROR(MATCH(VALUE(MID(H13,1,2)),Schwierigkeitsstufen!$G$7:$G$19,0)),"Gerät falsch",LOOKUP(VALUE(MID(H13,1,2)),Schwierigkeitsstufen!$G$7:$G$19,Schwierigkeitsstufen!$H$7:$H$19)))</f>
        <v/>
      </c>
      <c r="AC13" s="250" t="str">
        <f>IF((($A13="")*($B13=""))+((MID($Y13,1,4)&lt;&gt;"Wahl")*(Deckblatt!$C$14='WK-Vorlagen'!$C$82))+(Deckblatt!$C$14&lt;&gt;'WK-Vorlagen'!$C$82),"",IF(ISERROR(MATCH(VALUE(MID(I13,1,2)),Schwierigkeitsstufen!$G$7:$G$19,0)),"Gerät falsch",LOOKUP(VALUE(MID(I13,1,2)),Schwierigkeitsstufen!$G$7:$G$19,Schwierigkeitsstufen!$H$7:$H$19)))</f>
        <v/>
      </c>
      <c r="AD13" s="251" t="str">
        <f>IF((($A13="")*($B13=""))+((MID($Y13,1,4)&lt;&gt;"Wahl")*(Deckblatt!$C$14='WK-Vorlagen'!$C$82))+(Deckblatt!$C$14&lt;&gt;'WK-Vorlagen'!$C$82),"",IF(ISERROR(MATCH(VALUE(MID(J13,1,2)),Schwierigkeitsstufen!$G$7:$G$19,0)),"Gerät falsch",LOOKUP(VALUE(MID(J13,1,2)),Schwierigkeitsstufen!$G$7:$G$19,Schwierigkeitsstufen!$H$7:$H$19)))</f>
        <v/>
      </c>
      <c r="AE13" s="211"/>
      <c r="AF13" s="273" t="s">
        <v>527</v>
      </c>
      <c r="AG13" s="221" t="str">
        <f t="shared" si="0"/>
        <v/>
      </c>
      <c r="AH13" s="222" t="str">
        <f t="shared" si="5"/>
        <v/>
      </c>
      <c r="AI13" s="220">
        <f t="shared" si="6"/>
        <v>4</v>
      </c>
      <c r="AJ13" s="222">
        <f t="shared" si="7"/>
        <v>0</v>
      </c>
      <c r="AK13" s="299" t="str">
        <f>IF(ISERROR(LOOKUP(E13,WKNrListe,Übersicht!$R$7:$R$46)),"-",LOOKUP(E13,WKNrListe,Übersicht!$R$7:$R$46))</f>
        <v>-</v>
      </c>
      <c r="AL13" s="299" t="str">
        <f t="shared" si="2"/>
        <v>-</v>
      </c>
      <c r="AM13" s="303"/>
    </row>
    <row r="14" spans="1:39" s="174" customFormat="1" ht="15" customHeight="1">
      <c r="A14" s="63"/>
      <c r="B14" s="63"/>
      <c r="C14" s="84"/>
      <c r="D14" s="85"/>
      <c r="E14" s="60"/>
      <c r="F14" s="62"/>
      <c r="G14" s="62"/>
      <c r="H14" s="62"/>
      <c r="I14" s="62"/>
      <c r="J14" s="62"/>
      <c r="K14" s="62"/>
      <c r="L14" s="62"/>
      <c r="M14" s="62"/>
      <c r="N14" s="62"/>
      <c r="O14" s="62"/>
      <c r="P14" s="62"/>
      <c r="Q14" s="62"/>
      <c r="R14" s="62"/>
      <c r="S14" s="258"/>
      <c r="T14" s="248" t="str">
        <f t="shared" si="3"/>
        <v/>
      </c>
      <c r="U14" s="249" t="str">
        <f t="shared" si="4"/>
        <v/>
      </c>
      <c r="V14" s="294" t="str">
        <f t="shared" si="1"/>
        <v/>
      </c>
      <c r="W14" s="312" t="str">
        <f>IF(((E14="")+(F14="")),"",IF(VLOOKUP(F14,Mannschaften!$A$1:$B$54,2,FALSE)&lt;&gt;E14,"Reiter Mannschaften füllen",""))</f>
        <v/>
      </c>
      <c r="X14" s="248" t="str">
        <f>IF(ISBLANK(C14),"",IF((U14&gt;(LOOKUP(E14,WKNrListe,Übersicht!$O$7:$O$46)))+(U14&lt;(LOOKUP(E14,WKNrListe,Übersicht!$P$7:$P$46))),"JG falsch",""))</f>
        <v/>
      </c>
      <c r="Y14" s="255" t="str">
        <f>IF((A14="")*(B14=""),"",IF(ISERROR(MATCH(E14,WKNrListe,0)),"WK falsch",LOOKUP(E14,WKNrListe,Übersicht!$B$7:$B$46)))</f>
        <v/>
      </c>
      <c r="Z14" s="269" t="str">
        <f>IF(((AJ14=0)*(AH14&lt;&gt;"")*(AK14="-"))+((AJ14&lt;&gt;0)*(AH14&lt;&gt;"")*(AK14="-")),IF(AG14="X",Übersicht!$C$70,Übersicht!$C$69),"-")</f>
        <v>-</v>
      </c>
      <c r="AA14" s="252" t="str">
        <f>IF((($A14="")*($B14=""))+((MID($Y14,1,4)&lt;&gt;"Wahl")*(Deckblatt!$C$14='WK-Vorlagen'!$C$82))+(Deckblatt!$C$14&lt;&gt;'WK-Vorlagen'!$C$82),"",IF(ISERROR(MATCH(VALUE(MID(G14,1,2)),Schwierigkeitsstufen!$G$7:$G$19,0)),"Gerät falsch",LOOKUP(VALUE(MID(G14,1,2)),Schwierigkeitsstufen!$G$7:$G$19,Schwierigkeitsstufen!$H$7:$H$19)))</f>
        <v/>
      </c>
      <c r="AB14" s="250" t="str">
        <f>IF((($A14="")*($B14=""))+((MID($Y14,1,4)&lt;&gt;"Wahl")*(Deckblatt!$C$14='WK-Vorlagen'!$C$82))+(Deckblatt!$C$14&lt;&gt;'WK-Vorlagen'!$C$82),"",IF(ISERROR(MATCH(VALUE(MID(H14,1,2)),Schwierigkeitsstufen!$G$7:$G$19,0)),"Gerät falsch",LOOKUP(VALUE(MID(H14,1,2)),Schwierigkeitsstufen!$G$7:$G$19,Schwierigkeitsstufen!$H$7:$H$19)))</f>
        <v/>
      </c>
      <c r="AC14" s="250" t="str">
        <f>IF((($A14="")*($B14=""))+((MID($Y14,1,4)&lt;&gt;"Wahl")*(Deckblatt!$C$14='WK-Vorlagen'!$C$82))+(Deckblatt!$C$14&lt;&gt;'WK-Vorlagen'!$C$82),"",IF(ISERROR(MATCH(VALUE(MID(I14,1,2)),Schwierigkeitsstufen!$G$7:$G$19,0)),"Gerät falsch",LOOKUP(VALUE(MID(I14,1,2)),Schwierigkeitsstufen!$G$7:$G$19,Schwierigkeitsstufen!$H$7:$H$19)))</f>
        <v/>
      </c>
      <c r="AD14" s="251" t="str">
        <f>IF((($A14="")*($B14=""))+((MID($Y14,1,4)&lt;&gt;"Wahl")*(Deckblatt!$C$14='WK-Vorlagen'!$C$82))+(Deckblatt!$C$14&lt;&gt;'WK-Vorlagen'!$C$82),"",IF(ISERROR(MATCH(VALUE(MID(J14,1,2)),Schwierigkeitsstufen!$G$7:$G$19,0)),"Gerät falsch",LOOKUP(VALUE(MID(J14,1,2)),Schwierigkeitsstufen!$G$7:$G$19,Schwierigkeitsstufen!$H$7:$H$19)))</f>
        <v/>
      </c>
      <c r="AE14" s="211"/>
      <c r="AF14" s="195" t="s">
        <v>521</v>
      </c>
      <c r="AG14" s="221" t="str">
        <f t="shared" si="0"/>
        <v/>
      </c>
      <c r="AH14" s="222" t="str">
        <f t="shared" si="5"/>
        <v/>
      </c>
      <c r="AI14" s="220">
        <f t="shared" si="6"/>
        <v>4</v>
      </c>
      <c r="AJ14" s="222">
        <f t="shared" si="7"/>
        <v>0</v>
      </c>
      <c r="AK14" s="299" t="str">
        <f>IF(ISERROR(LOOKUP(E14,WKNrListe,Übersicht!$R$7:$R$46)),"-",LOOKUP(E14,WKNrListe,Übersicht!$R$7:$R$46))</f>
        <v>-</v>
      </c>
      <c r="AL14" s="299" t="str">
        <f t="shared" si="2"/>
        <v>-</v>
      </c>
      <c r="AM14" s="303"/>
    </row>
    <row r="15" spans="1:39" s="174" customFormat="1" ht="15" customHeight="1">
      <c r="A15" s="63"/>
      <c r="B15" s="63"/>
      <c r="C15" s="84"/>
      <c r="D15" s="85"/>
      <c r="E15" s="60"/>
      <c r="F15" s="62"/>
      <c r="G15" s="62"/>
      <c r="H15" s="62"/>
      <c r="I15" s="62"/>
      <c r="J15" s="62"/>
      <c r="K15" s="62"/>
      <c r="L15" s="62"/>
      <c r="M15" s="62"/>
      <c r="N15" s="62"/>
      <c r="O15" s="62"/>
      <c r="P15" s="62"/>
      <c r="Q15" s="62"/>
      <c r="R15" s="62"/>
      <c r="S15" s="258"/>
      <c r="T15" s="248" t="str">
        <f t="shared" si="3"/>
        <v/>
      </c>
      <c r="U15" s="249" t="str">
        <f t="shared" si="4"/>
        <v/>
      </c>
      <c r="V15" s="294" t="str">
        <f t="shared" si="1"/>
        <v/>
      </c>
      <c r="W15" s="312" t="str">
        <f>IF(((E15="")+(F15="")),"",IF(VLOOKUP(F15,Mannschaften!$A$1:$B$54,2,FALSE)&lt;&gt;E15,"Reiter Mannschaften füllen",""))</f>
        <v/>
      </c>
      <c r="X15" s="248" t="str">
        <f>IF(ISBLANK(C15),"",IF((U15&gt;(LOOKUP(E15,WKNrListe,Übersicht!$O$7:$O$46)))+(U15&lt;(LOOKUP(E15,WKNrListe,Übersicht!$P$7:$P$46))),"JG falsch",""))</f>
        <v/>
      </c>
      <c r="Y15" s="255" t="str">
        <f>IF((A15="")*(B15=""),"",IF(ISERROR(MATCH(E15,WKNrListe,0)),"WK falsch",LOOKUP(E15,WKNrListe,Übersicht!$B$7:$B$46)))</f>
        <v/>
      </c>
      <c r="Z15" s="269" t="str">
        <f>IF(((AJ15=0)*(AH15&lt;&gt;"")*(AK15="-"))+((AJ15&lt;&gt;0)*(AH15&lt;&gt;"")*(AK15="-")),IF(AG15="X",Übersicht!$C$70,Übersicht!$C$69),"-")</f>
        <v>-</v>
      </c>
      <c r="AA15" s="252" t="str">
        <f>IF((($A15="")*($B15=""))+((MID($Y15,1,4)&lt;&gt;"Wahl")*(Deckblatt!$C$14='WK-Vorlagen'!$C$82))+(Deckblatt!$C$14&lt;&gt;'WK-Vorlagen'!$C$82),"",IF(ISERROR(MATCH(VALUE(MID(G15,1,2)),Schwierigkeitsstufen!$G$7:$G$19,0)),"Gerät falsch",LOOKUP(VALUE(MID(G15,1,2)),Schwierigkeitsstufen!$G$7:$G$19,Schwierigkeitsstufen!$H$7:$H$19)))</f>
        <v/>
      </c>
      <c r="AB15" s="250" t="str">
        <f>IF((($A15="")*($B15=""))+((MID($Y15,1,4)&lt;&gt;"Wahl")*(Deckblatt!$C$14='WK-Vorlagen'!$C$82))+(Deckblatt!$C$14&lt;&gt;'WK-Vorlagen'!$C$82),"",IF(ISERROR(MATCH(VALUE(MID(H15,1,2)),Schwierigkeitsstufen!$G$7:$G$19,0)),"Gerät falsch",LOOKUP(VALUE(MID(H15,1,2)),Schwierigkeitsstufen!$G$7:$G$19,Schwierigkeitsstufen!$H$7:$H$19)))</f>
        <v/>
      </c>
      <c r="AC15" s="250" t="str">
        <f>IF((($A15="")*($B15=""))+((MID($Y15,1,4)&lt;&gt;"Wahl")*(Deckblatt!$C$14='WK-Vorlagen'!$C$82))+(Deckblatt!$C$14&lt;&gt;'WK-Vorlagen'!$C$82),"",IF(ISERROR(MATCH(VALUE(MID(I15,1,2)),Schwierigkeitsstufen!$G$7:$G$19,0)),"Gerät falsch",LOOKUP(VALUE(MID(I15,1,2)),Schwierigkeitsstufen!$G$7:$G$19,Schwierigkeitsstufen!$H$7:$H$19)))</f>
        <v/>
      </c>
      <c r="AD15" s="251" t="str">
        <f>IF((($A15="")*($B15=""))+((MID($Y15,1,4)&lt;&gt;"Wahl")*(Deckblatt!$C$14='WK-Vorlagen'!$C$82))+(Deckblatt!$C$14&lt;&gt;'WK-Vorlagen'!$C$82),"",IF(ISERROR(MATCH(VALUE(MID(J15,1,2)),Schwierigkeitsstufen!$G$7:$G$19,0)),"Gerät falsch",LOOKUP(VALUE(MID(J15,1,2)),Schwierigkeitsstufen!$G$7:$G$19,Schwierigkeitsstufen!$H$7:$H$19)))</f>
        <v/>
      </c>
      <c r="AE15" s="211"/>
      <c r="AF15" s="195" t="s">
        <v>619</v>
      </c>
      <c r="AG15" s="221" t="str">
        <f t="shared" si="0"/>
        <v/>
      </c>
      <c r="AH15" s="222" t="str">
        <f t="shared" si="5"/>
        <v/>
      </c>
      <c r="AI15" s="220">
        <f t="shared" si="6"/>
        <v>4</v>
      </c>
      <c r="AJ15" s="222">
        <f t="shared" si="7"/>
        <v>0</v>
      </c>
      <c r="AK15" s="299" t="str">
        <f>IF(ISERROR(LOOKUP(E15,WKNrListe,Übersicht!$R$7:$R$46)),"-",LOOKUP(E15,WKNrListe,Übersicht!$R$7:$R$46))</f>
        <v>-</v>
      </c>
      <c r="AL15" s="299" t="str">
        <f t="shared" si="2"/>
        <v>-</v>
      </c>
      <c r="AM15" s="303"/>
    </row>
    <row r="16" spans="1:39" s="174" customFormat="1" ht="15" customHeight="1">
      <c r="A16" s="63"/>
      <c r="B16" s="63"/>
      <c r="C16" s="84"/>
      <c r="D16" s="85"/>
      <c r="E16" s="60"/>
      <c r="F16" s="62"/>
      <c r="G16" s="62"/>
      <c r="H16" s="62"/>
      <c r="I16" s="62"/>
      <c r="J16" s="62"/>
      <c r="K16" s="62"/>
      <c r="L16" s="62"/>
      <c r="M16" s="62"/>
      <c r="N16" s="62"/>
      <c r="O16" s="62"/>
      <c r="P16" s="62"/>
      <c r="Q16" s="62"/>
      <c r="R16" s="62"/>
      <c r="S16" s="258"/>
      <c r="T16" s="248" t="str">
        <f t="shared" si="3"/>
        <v/>
      </c>
      <c r="U16" s="249" t="str">
        <f t="shared" si="4"/>
        <v/>
      </c>
      <c r="V16" s="294" t="str">
        <f t="shared" si="1"/>
        <v/>
      </c>
      <c r="W16" s="312" t="str">
        <f>IF(((E16="")+(F16="")),"",IF(VLOOKUP(F16,Mannschaften!$A$1:$B$54,2,FALSE)&lt;&gt;E16,"Reiter Mannschaften füllen",""))</f>
        <v/>
      </c>
      <c r="X16" s="248" t="str">
        <f>IF(ISBLANK(C16),"",IF((U16&gt;(LOOKUP(E16,WKNrListe,Übersicht!$O$7:$O$46)))+(U16&lt;(LOOKUP(E16,WKNrListe,Übersicht!$P$7:$P$46))),"JG falsch",""))</f>
        <v/>
      </c>
      <c r="Y16" s="255" t="str">
        <f>IF((A16="")*(B16=""),"",IF(ISERROR(MATCH(E16,WKNrListe,0)),"WK falsch",LOOKUP(E16,WKNrListe,Übersicht!$B$7:$B$46)))</f>
        <v/>
      </c>
      <c r="Z16" s="269" t="str">
        <f>IF(((AJ16=0)*(AH16&lt;&gt;"")*(AK16="-"))+((AJ16&lt;&gt;0)*(AH16&lt;&gt;"")*(AK16="-")),IF(AG16="X",Übersicht!$C$70,Übersicht!$C$69),"-")</f>
        <v>-</v>
      </c>
      <c r="AA16" s="252" t="str">
        <f>IF((($A16="")*($B16=""))+((MID($Y16,1,4)&lt;&gt;"Wahl")*(Deckblatt!$C$14='WK-Vorlagen'!$C$82))+(Deckblatt!$C$14&lt;&gt;'WK-Vorlagen'!$C$82),"",IF(ISERROR(MATCH(VALUE(MID(G16,1,2)),Schwierigkeitsstufen!$G$7:$G$19,0)),"Gerät falsch",LOOKUP(VALUE(MID(G16,1,2)),Schwierigkeitsstufen!$G$7:$G$19,Schwierigkeitsstufen!$H$7:$H$19)))</f>
        <v/>
      </c>
      <c r="AB16" s="250" t="str">
        <f>IF((($A16="")*($B16=""))+((MID($Y16,1,4)&lt;&gt;"Wahl")*(Deckblatt!$C$14='WK-Vorlagen'!$C$82))+(Deckblatt!$C$14&lt;&gt;'WK-Vorlagen'!$C$82),"",IF(ISERROR(MATCH(VALUE(MID(H16,1,2)),Schwierigkeitsstufen!$G$7:$G$19,0)),"Gerät falsch",LOOKUP(VALUE(MID(H16,1,2)),Schwierigkeitsstufen!$G$7:$G$19,Schwierigkeitsstufen!$H$7:$H$19)))</f>
        <v/>
      </c>
      <c r="AC16" s="250" t="str">
        <f>IF((($A16="")*($B16=""))+((MID($Y16,1,4)&lt;&gt;"Wahl")*(Deckblatt!$C$14='WK-Vorlagen'!$C$82))+(Deckblatt!$C$14&lt;&gt;'WK-Vorlagen'!$C$82),"",IF(ISERROR(MATCH(VALUE(MID(I16,1,2)),Schwierigkeitsstufen!$G$7:$G$19,0)),"Gerät falsch",LOOKUP(VALUE(MID(I16,1,2)),Schwierigkeitsstufen!$G$7:$G$19,Schwierigkeitsstufen!$H$7:$H$19)))</f>
        <v/>
      </c>
      <c r="AD16" s="251" t="str">
        <f>IF((($A16="")*($B16=""))+((MID($Y16,1,4)&lt;&gt;"Wahl")*(Deckblatt!$C$14='WK-Vorlagen'!$C$82))+(Deckblatt!$C$14&lt;&gt;'WK-Vorlagen'!$C$82),"",IF(ISERROR(MATCH(VALUE(MID(J16,1,2)),Schwierigkeitsstufen!$G$7:$G$19,0)),"Gerät falsch",LOOKUP(VALUE(MID(J16,1,2)),Schwierigkeitsstufen!$G$7:$G$19,Schwierigkeitsstufen!$H$7:$H$19)))</f>
        <v/>
      </c>
      <c r="AE16" s="211"/>
      <c r="AF16" s="238" t="s">
        <v>498</v>
      </c>
      <c r="AG16" s="221" t="str">
        <f t="shared" si="0"/>
        <v/>
      </c>
      <c r="AH16" s="222" t="str">
        <f t="shared" si="5"/>
        <v/>
      </c>
      <c r="AI16" s="220">
        <f t="shared" si="6"/>
        <v>4</v>
      </c>
      <c r="AJ16" s="222">
        <f t="shared" si="7"/>
        <v>0</v>
      </c>
      <c r="AK16" s="299" t="str">
        <f>IF(ISERROR(LOOKUP(E16,WKNrListe,Übersicht!$R$7:$R$46)),"-",LOOKUP(E16,WKNrListe,Übersicht!$R$7:$R$46))</f>
        <v>-</v>
      </c>
      <c r="AL16" s="299" t="str">
        <f t="shared" si="2"/>
        <v>-</v>
      </c>
      <c r="AM16" s="303"/>
    </row>
    <row r="17" spans="1:39" s="174" customFormat="1" ht="15" customHeight="1">
      <c r="A17" s="63"/>
      <c r="B17" s="63"/>
      <c r="C17" s="84"/>
      <c r="D17" s="85"/>
      <c r="E17" s="60"/>
      <c r="F17" s="62"/>
      <c r="G17" s="62"/>
      <c r="H17" s="62"/>
      <c r="I17" s="62"/>
      <c r="J17" s="62"/>
      <c r="K17" s="62"/>
      <c r="L17" s="62"/>
      <c r="M17" s="62"/>
      <c r="N17" s="62"/>
      <c r="O17" s="62"/>
      <c r="P17" s="62"/>
      <c r="Q17" s="62"/>
      <c r="R17" s="62"/>
      <c r="S17" s="258"/>
      <c r="T17" s="248" t="str">
        <f t="shared" si="3"/>
        <v/>
      </c>
      <c r="U17" s="249" t="str">
        <f t="shared" si="4"/>
        <v/>
      </c>
      <c r="V17" s="294" t="str">
        <f t="shared" si="1"/>
        <v/>
      </c>
      <c r="W17" s="294" t="str">
        <f>IF(((E17="")+(F17="")),"",IF(VLOOKUP(F17,Mannschaften!$A$1:$B$54,2,FALSE)&lt;&gt;E17,"Reiter Mannschaften füllen",""))</f>
        <v/>
      </c>
      <c r="X17" s="248" t="str">
        <f>IF(ISBLANK(C17),"",IF((U17&gt;(LOOKUP(E17,WKNrListe,Übersicht!$O$7:$O$46)))+(U17&lt;(LOOKUP(E17,WKNrListe,Übersicht!$P$7:$P$46))),"JG falsch",""))</f>
        <v/>
      </c>
      <c r="Y17" s="255" t="str">
        <f>IF((A17="")*(B17=""),"",IF(ISERROR(MATCH(E17,WKNrListe,0)),"WK falsch",LOOKUP(E17,WKNrListe,Übersicht!$B$7:$B$46)))</f>
        <v/>
      </c>
      <c r="Z17" s="269" t="str">
        <f>IF(((AJ17=0)*(AH17&lt;&gt;"")*(AK17="-"))+((AJ17&lt;&gt;0)*(AH17&lt;&gt;"")*(AK17="-")),IF(AG17="X",Übersicht!$C$70,Übersicht!$C$69),"-")</f>
        <v>-</v>
      </c>
      <c r="AA17" s="252" t="str">
        <f>IF((($A17="")*($B17=""))+((MID($Y17,1,4)&lt;&gt;"Wahl")*(Deckblatt!$C$14='WK-Vorlagen'!$C$82))+(Deckblatt!$C$14&lt;&gt;'WK-Vorlagen'!$C$82),"",IF(ISERROR(MATCH(VALUE(MID(G17,1,2)),Schwierigkeitsstufen!$G$7:$G$19,0)),"Gerät falsch",LOOKUP(VALUE(MID(G17,1,2)),Schwierigkeitsstufen!$G$7:$G$19,Schwierigkeitsstufen!$H$7:$H$19)))</f>
        <v/>
      </c>
      <c r="AB17" s="250" t="str">
        <f>IF((($A17="")*($B17=""))+((MID($Y17,1,4)&lt;&gt;"Wahl")*(Deckblatt!$C$14='WK-Vorlagen'!$C$82))+(Deckblatt!$C$14&lt;&gt;'WK-Vorlagen'!$C$82),"",IF(ISERROR(MATCH(VALUE(MID(H17,1,2)),Schwierigkeitsstufen!$G$7:$G$19,0)),"Gerät falsch",LOOKUP(VALUE(MID(H17,1,2)),Schwierigkeitsstufen!$G$7:$G$19,Schwierigkeitsstufen!$H$7:$H$19)))</f>
        <v/>
      </c>
      <c r="AC17" s="250" t="str">
        <f>IF((($A17="")*($B17=""))+((MID($Y17,1,4)&lt;&gt;"Wahl")*(Deckblatt!$C$14='WK-Vorlagen'!$C$82))+(Deckblatt!$C$14&lt;&gt;'WK-Vorlagen'!$C$82),"",IF(ISERROR(MATCH(VALUE(MID(I17,1,2)),Schwierigkeitsstufen!$G$7:$G$19,0)),"Gerät falsch",LOOKUP(VALUE(MID(I17,1,2)),Schwierigkeitsstufen!$G$7:$G$19,Schwierigkeitsstufen!$H$7:$H$19)))</f>
        <v/>
      </c>
      <c r="AD17" s="251" t="str">
        <f>IF((($A17="")*($B17=""))+((MID($Y17,1,4)&lt;&gt;"Wahl")*(Deckblatt!$C$14='WK-Vorlagen'!$C$82))+(Deckblatt!$C$14&lt;&gt;'WK-Vorlagen'!$C$82),"",IF(ISERROR(MATCH(VALUE(MID(J17,1,2)),Schwierigkeitsstufen!$G$7:$G$19,0)),"Gerät falsch",LOOKUP(VALUE(MID(J17,1,2)),Schwierigkeitsstufen!$G$7:$G$19,Schwierigkeitsstufen!$H$7:$H$19)))</f>
        <v/>
      </c>
      <c r="AE17" s="211"/>
      <c r="AF17" s="238" t="s">
        <v>602</v>
      </c>
      <c r="AG17" s="221" t="str">
        <f t="shared" si="0"/>
        <v/>
      </c>
      <c r="AH17" s="222" t="str">
        <f t="shared" si="5"/>
        <v/>
      </c>
      <c r="AI17" s="220">
        <f t="shared" si="6"/>
        <v>4</v>
      </c>
      <c r="AJ17" s="222">
        <f t="shared" si="7"/>
        <v>0</v>
      </c>
      <c r="AK17" s="299" t="str">
        <f>IF(ISERROR(LOOKUP(E17,WKNrListe,Übersicht!$R$7:$R$46)),"-",LOOKUP(E17,WKNrListe,Übersicht!$R$7:$R$46))</f>
        <v>-</v>
      </c>
      <c r="AL17" s="299" t="str">
        <f t="shared" si="2"/>
        <v>-</v>
      </c>
      <c r="AM17" s="303"/>
    </row>
    <row r="18" spans="1:39" s="174" customFormat="1" ht="15" customHeight="1">
      <c r="A18" s="63"/>
      <c r="B18" s="63"/>
      <c r="C18" s="84"/>
      <c r="D18" s="85"/>
      <c r="E18" s="60"/>
      <c r="F18" s="62"/>
      <c r="G18" s="62"/>
      <c r="H18" s="62"/>
      <c r="I18" s="62"/>
      <c r="J18" s="62"/>
      <c r="K18" s="62"/>
      <c r="L18" s="62"/>
      <c r="M18" s="62"/>
      <c r="N18" s="62"/>
      <c r="O18" s="62"/>
      <c r="P18" s="62"/>
      <c r="Q18" s="62"/>
      <c r="R18" s="62"/>
      <c r="S18" s="258"/>
      <c r="T18" s="248" t="str">
        <f t="shared" si="3"/>
        <v/>
      </c>
      <c r="U18" s="249" t="str">
        <f t="shared" si="4"/>
        <v/>
      </c>
      <c r="V18" s="294" t="str">
        <f t="shared" si="1"/>
        <v/>
      </c>
      <c r="W18" s="294" t="str">
        <f>IF(((E18="")+(F18="")),"",IF(VLOOKUP(F18,Mannschaften!$A$1:$B$54,2,FALSE)&lt;&gt;E18,"Reiter Mannschaften füllen",""))</f>
        <v/>
      </c>
      <c r="X18" s="248" t="str">
        <f>IF(ISBLANK(C18),"",IF((U18&gt;(LOOKUP(E18,WKNrListe,Übersicht!$O$7:$O$46)))+(U18&lt;(LOOKUP(E18,WKNrListe,Übersicht!$P$7:$P$46))),"JG falsch",""))</f>
        <v/>
      </c>
      <c r="Y18" s="255" t="str">
        <f>IF((A18="")*(B18=""),"",IF(ISERROR(MATCH(E18,WKNrListe,0)),"WK falsch",LOOKUP(E18,WKNrListe,Übersicht!$B$7:$B$46)))</f>
        <v/>
      </c>
      <c r="Z18" s="269" t="str">
        <f>IF(((AJ18=0)*(AH18&lt;&gt;"")*(AK18="-"))+((AJ18&lt;&gt;0)*(AH18&lt;&gt;"")*(AK18="-")),IF(AG18="X",Übersicht!$C$70,Übersicht!$C$69),"-")</f>
        <v>-</v>
      </c>
      <c r="AA18" s="252" t="str">
        <f>IF((($A18="")*($B18=""))+((MID($Y18,1,4)&lt;&gt;"Wahl")*(Deckblatt!$C$14='WK-Vorlagen'!$C$82))+(Deckblatt!$C$14&lt;&gt;'WK-Vorlagen'!$C$82),"",IF(ISERROR(MATCH(VALUE(MID(G18,1,2)),Schwierigkeitsstufen!$G$7:$G$19,0)),"Gerät falsch",LOOKUP(VALUE(MID(G18,1,2)),Schwierigkeitsstufen!$G$7:$G$19,Schwierigkeitsstufen!$H$7:$H$19)))</f>
        <v/>
      </c>
      <c r="AB18" s="250" t="str">
        <f>IF((($A18="")*($B18=""))+((MID($Y18,1,4)&lt;&gt;"Wahl")*(Deckblatt!$C$14='WK-Vorlagen'!$C$82))+(Deckblatt!$C$14&lt;&gt;'WK-Vorlagen'!$C$82),"",IF(ISERROR(MATCH(VALUE(MID(H18,1,2)),Schwierigkeitsstufen!$G$7:$G$19,0)),"Gerät falsch",LOOKUP(VALUE(MID(H18,1,2)),Schwierigkeitsstufen!$G$7:$G$19,Schwierigkeitsstufen!$H$7:$H$19)))</f>
        <v/>
      </c>
      <c r="AC18" s="250" t="str">
        <f>IF((($A18="")*($B18=""))+((MID($Y18,1,4)&lt;&gt;"Wahl")*(Deckblatt!$C$14='WK-Vorlagen'!$C$82))+(Deckblatt!$C$14&lt;&gt;'WK-Vorlagen'!$C$82),"",IF(ISERROR(MATCH(VALUE(MID(I18,1,2)),Schwierigkeitsstufen!$G$7:$G$19,0)),"Gerät falsch",LOOKUP(VALUE(MID(I18,1,2)),Schwierigkeitsstufen!$G$7:$G$19,Schwierigkeitsstufen!$H$7:$H$19)))</f>
        <v/>
      </c>
      <c r="AD18" s="251" t="str">
        <f>IF((($A18="")*($B18=""))+((MID($Y18,1,4)&lt;&gt;"Wahl")*(Deckblatt!$C$14='WK-Vorlagen'!$C$82))+(Deckblatt!$C$14&lt;&gt;'WK-Vorlagen'!$C$82),"",IF(ISERROR(MATCH(VALUE(MID(J18,1,2)),Schwierigkeitsstufen!$G$7:$G$19,0)),"Gerät falsch",LOOKUP(VALUE(MID(J18,1,2)),Schwierigkeitsstufen!$G$7:$G$19,Schwierigkeitsstufen!$H$7:$H$19)))</f>
        <v/>
      </c>
      <c r="AE18" s="211"/>
      <c r="AF18" s="238" t="s">
        <v>425</v>
      </c>
      <c r="AG18" s="221" t="str">
        <f t="shared" si="0"/>
        <v/>
      </c>
      <c r="AH18" s="222" t="str">
        <f t="shared" si="5"/>
        <v/>
      </c>
      <c r="AI18" s="220">
        <f t="shared" si="6"/>
        <v>4</v>
      </c>
      <c r="AJ18" s="222">
        <f t="shared" si="7"/>
        <v>0</v>
      </c>
      <c r="AK18" s="299" t="str">
        <f>IF(ISERROR(LOOKUP(E18,WKNrListe,Übersicht!$R$7:$R$46)),"-",LOOKUP(E18,WKNrListe,Übersicht!$R$7:$R$46))</f>
        <v>-</v>
      </c>
      <c r="AL18" s="299" t="str">
        <f t="shared" si="2"/>
        <v>-</v>
      </c>
      <c r="AM18" s="303"/>
    </row>
    <row r="19" spans="1:39" s="174" customFormat="1" ht="15" customHeight="1">
      <c r="A19" s="63"/>
      <c r="B19" s="63"/>
      <c r="C19" s="84"/>
      <c r="D19" s="85"/>
      <c r="E19" s="62"/>
      <c r="F19" s="62"/>
      <c r="G19" s="62"/>
      <c r="H19" s="62"/>
      <c r="I19" s="62"/>
      <c r="J19" s="62"/>
      <c r="K19" s="62"/>
      <c r="L19" s="62"/>
      <c r="M19" s="62"/>
      <c r="N19" s="62"/>
      <c r="O19" s="62"/>
      <c r="P19" s="62"/>
      <c r="Q19" s="62"/>
      <c r="R19" s="62"/>
      <c r="S19" s="258"/>
      <c r="T19" s="248" t="str">
        <f t="shared" si="3"/>
        <v/>
      </c>
      <c r="U19" s="249" t="str">
        <f t="shared" si="4"/>
        <v/>
      </c>
      <c r="V19" s="294" t="str">
        <f t="shared" si="1"/>
        <v/>
      </c>
      <c r="W19" s="294" t="str">
        <f>IF(((E19="")+(F19="")),"",IF(VLOOKUP(F19,Mannschaften!$A$1:$B$54,2,FALSE)&lt;&gt;E19,"Reiter Mannschaften füllen",""))</f>
        <v/>
      </c>
      <c r="X19" s="248" t="str">
        <f>IF(ISBLANK(C19),"",IF((U19&gt;(LOOKUP(E19,WKNrListe,Übersicht!$O$7:$O$46)))+(U19&lt;(LOOKUP(E19,WKNrListe,Übersicht!$P$7:$P$46))),"JG falsch",""))</f>
        <v/>
      </c>
      <c r="Y19" s="255" t="str">
        <f>IF((A19="")*(B19=""),"",IF(ISERROR(MATCH(E19,WKNrListe,0)),"WK falsch",LOOKUP(E19,WKNrListe,Übersicht!$B$7:$B$46)))</f>
        <v/>
      </c>
      <c r="Z19" s="269" t="str">
        <f>IF(((AJ19=0)*(AH19&lt;&gt;"")*(AK19="-"))+((AJ19&lt;&gt;0)*(AH19&lt;&gt;"")*(AK19="-")),IF(AG19="X",Übersicht!$C$70,Übersicht!$C$69),"-")</f>
        <v>-</v>
      </c>
      <c r="AA19" s="252" t="str">
        <f>IF((($A19="")*($B19=""))+((MID($Y19,1,4)&lt;&gt;"Wahl")*(Deckblatt!$C$14='WK-Vorlagen'!$C$82))+(Deckblatt!$C$14&lt;&gt;'WK-Vorlagen'!$C$82),"",IF(ISERROR(MATCH(VALUE(MID(G19,1,2)),Schwierigkeitsstufen!$G$7:$G$19,0)),"Gerät falsch",LOOKUP(VALUE(MID(G19,1,2)),Schwierigkeitsstufen!$G$7:$G$19,Schwierigkeitsstufen!$H$7:$H$19)))</f>
        <v/>
      </c>
      <c r="AB19" s="250" t="str">
        <f>IF((($A19="")*($B19=""))+((MID($Y19,1,4)&lt;&gt;"Wahl")*(Deckblatt!$C$14='WK-Vorlagen'!$C$82))+(Deckblatt!$C$14&lt;&gt;'WK-Vorlagen'!$C$82),"",IF(ISERROR(MATCH(VALUE(MID(H19,1,2)),Schwierigkeitsstufen!$G$7:$G$19,0)),"Gerät falsch",LOOKUP(VALUE(MID(H19,1,2)),Schwierigkeitsstufen!$G$7:$G$19,Schwierigkeitsstufen!$H$7:$H$19)))</f>
        <v/>
      </c>
      <c r="AC19" s="250" t="str">
        <f>IF((($A19="")*($B19=""))+((MID($Y19,1,4)&lt;&gt;"Wahl")*(Deckblatt!$C$14='WK-Vorlagen'!$C$82))+(Deckblatt!$C$14&lt;&gt;'WK-Vorlagen'!$C$82),"",IF(ISERROR(MATCH(VALUE(MID(I19,1,2)),Schwierigkeitsstufen!$G$7:$G$19,0)),"Gerät falsch",LOOKUP(VALUE(MID(I19,1,2)),Schwierigkeitsstufen!$G$7:$G$19,Schwierigkeitsstufen!$H$7:$H$19)))</f>
        <v/>
      </c>
      <c r="AD19" s="251" t="str">
        <f>IF((($A19="")*($B19=""))+((MID($Y19,1,4)&lt;&gt;"Wahl")*(Deckblatt!$C$14='WK-Vorlagen'!$C$82))+(Deckblatt!$C$14&lt;&gt;'WK-Vorlagen'!$C$82),"",IF(ISERROR(MATCH(VALUE(MID(J19,1,2)),Schwierigkeitsstufen!$G$7:$G$19,0)),"Gerät falsch",LOOKUP(VALUE(MID(J19,1,2)),Schwierigkeitsstufen!$G$7:$G$19,Schwierigkeitsstufen!$H$7:$H$19)))</f>
        <v/>
      </c>
      <c r="AE19" s="211"/>
      <c r="AF19" s="237" t="s">
        <v>494</v>
      </c>
      <c r="AG19" s="221" t="str">
        <f t="shared" si="0"/>
        <v/>
      </c>
      <c r="AH19" s="222" t="str">
        <f t="shared" si="5"/>
        <v/>
      </c>
      <c r="AI19" s="220">
        <f t="shared" si="6"/>
        <v>4</v>
      </c>
      <c r="AJ19" s="222">
        <f t="shared" si="7"/>
        <v>0</v>
      </c>
      <c r="AK19" s="299" t="str">
        <f>IF(ISERROR(LOOKUP(E19,WKNrListe,Übersicht!$R$7:$R$46)),"-",LOOKUP(E19,WKNrListe,Übersicht!$R$7:$R$46))</f>
        <v>-</v>
      </c>
      <c r="AL19" s="299" t="str">
        <f t="shared" si="2"/>
        <v>-</v>
      </c>
      <c r="AM19" s="303"/>
    </row>
    <row r="20" spans="1:39" s="174" customFormat="1" ht="15" customHeight="1">
      <c r="A20" s="63"/>
      <c r="B20" s="63"/>
      <c r="C20" s="84"/>
      <c r="D20" s="85"/>
      <c r="E20" s="62"/>
      <c r="F20" s="62"/>
      <c r="G20" s="62"/>
      <c r="H20" s="62"/>
      <c r="I20" s="62"/>
      <c r="J20" s="62"/>
      <c r="K20" s="62"/>
      <c r="L20" s="62"/>
      <c r="M20" s="62"/>
      <c r="N20" s="62"/>
      <c r="O20" s="62"/>
      <c r="P20" s="62"/>
      <c r="Q20" s="62"/>
      <c r="R20" s="62"/>
      <c r="S20" s="258"/>
      <c r="T20" s="248" t="str">
        <f t="shared" si="3"/>
        <v/>
      </c>
      <c r="U20" s="249" t="str">
        <f t="shared" si="4"/>
        <v/>
      </c>
      <c r="V20" s="294" t="str">
        <f t="shared" si="1"/>
        <v/>
      </c>
      <c r="W20" s="294" t="str">
        <f>IF(((E20="")+(F20="")),"",IF(VLOOKUP(F20,Mannschaften!$A$1:$B$54,2,FALSE)&lt;&gt;E20,"Reiter Mannschaften füllen",""))</f>
        <v/>
      </c>
      <c r="X20" s="248" t="str">
        <f>IF(ISBLANK(C20),"",IF((U20&gt;(LOOKUP(E20,WKNrListe,Übersicht!$O$7:$O$46)))+(U20&lt;(LOOKUP(E20,WKNrListe,Übersicht!$P$7:$P$46))),"JG falsch",""))</f>
        <v/>
      </c>
      <c r="Y20" s="255" t="str">
        <f>IF((A20="")*(B20=""),"",IF(ISERROR(MATCH(E20,WKNrListe,0)),"WK falsch",LOOKUP(E20,WKNrListe,Übersicht!$B$7:$B$46)))</f>
        <v/>
      </c>
      <c r="Z20" s="269" t="str">
        <f>IF(((AJ20=0)*(AH20&lt;&gt;"")*(AK20="-"))+((AJ20&lt;&gt;0)*(AH20&lt;&gt;"")*(AK20="-")),IF(AG20="X",Übersicht!$C$70,Übersicht!$C$69),"-")</f>
        <v>-</v>
      </c>
      <c r="AA20" s="252" t="str">
        <f>IF((($A20="")*($B20=""))+((MID($Y20,1,4)&lt;&gt;"Wahl")*(Deckblatt!$C$14='WK-Vorlagen'!$C$82))+(Deckblatt!$C$14&lt;&gt;'WK-Vorlagen'!$C$82),"",IF(ISERROR(MATCH(VALUE(MID(G20,1,2)),Schwierigkeitsstufen!$G$7:$G$19,0)),"Gerät falsch",LOOKUP(VALUE(MID(G20,1,2)),Schwierigkeitsstufen!$G$7:$G$19,Schwierigkeitsstufen!$H$7:$H$19)))</f>
        <v/>
      </c>
      <c r="AB20" s="250" t="str">
        <f>IF((($A20="")*($B20=""))+((MID($Y20,1,4)&lt;&gt;"Wahl")*(Deckblatt!$C$14='WK-Vorlagen'!$C$82))+(Deckblatt!$C$14&lt;&gt;'WK-Vorlagen'!$C$82),"",IF(ISERROR(MATCH(VALUE(MID(H20,1,2)),Schwierigkeitsstufen!$G$7:$G$19,0)),"Gerät falsch",LOOKUP(VALUE(MID(H20,1,2)),Schwierigkeitsstufen!$G$7:$G$19,Schwierigkeitsstufen!$H$7:$H$19)))</f>
        <v/>
      </c>
      <c r="AC20" s="250" t="str">
        <f>IF((($A20="")*($B20=""))+((MID($Y20,1,4)&lt;&gt;"Wahl")*(Deckblatt!$C$14='WK-Vorlagen'!$C$82))+(Deckblatt!$C$14&lt;&gt;'WK-Vorlagen'!$C$82),"",IF(ISERROR(MATCH(VALUE(MID(I20,1,2)),Schwierigkeitsstufen!$G$7:$G$19,0)),"Gerät falsch",LOOKUP(VALUE(MID(I20,1,2)),Schwierigkeitsstufen!$G$7:$G$19,Schwierigkeitsstufen!$H$7:$H$19)))</f>
        <v/>
      </c>
      <c r="AD20" s="251" t="str">
        <f>IF((($A20="")*($B20=""))+((MID($Y20,1,4)&lt;&gt;"Wahl")*(Deckblatt!$C$14='WK-Vorlagen'!$C$82))+(Deckblatt!$C$14&lt;&gt;'WK-Vorlagen'!$C$82),"",IF(ISERROR(MATCH(VALUE(MID(J20,1,2)),Schwierigkeitsstufen!$G$7:$G$19,0)),"Gerät falsch",LOOKUP(VALUE(MID(J20,1,2)),Schwierigkeitsstufen!$G$7:$G$19,Schwierigkeitsstufen!$H$7:$H$19)))</f>
        <v/>
      </c>
      <c r="AE20" s="211"/>
      <c r="AF20" s="237" t="s">
        <v>499</v>
      </c>
      <c r="AG20" s="221" t="str">
        <f t="shared" si="0"/>
        <v/>
      </c>
      <c r="AH20" s="222" t="str">
        <f t="shared" si="5"/>
        <v/>
      </c>
      <c r="AI20" s="220">
        <f t="shared" si="6"/>
        <v>4</v>
      </c>
      <c r="AJ20" s="222">
        <f t="shared" si="7"/>
        <v>0</v>
      </c>
      <c r="AK20" s="299" t="str">
        <f>IF(ISERROR(LOOKUP(E20,WKNrListe,Übersicht!$R$7:$R$46)),"-",LOOKUP(E20,WKNrListe,Übersicht!$R$7:$R$46))</f>
        <v>-</v>
      </c>
      <c r="AL20" s="299" t="str">
        <f t="shared" si="2"/>
        <v>-</v>
      </c>
      <c r="AM20" s="303"/>
    </row>
    <row r="21" spans="1:39" s="174" customFormat="1" ht="15" customHeight="1">
      <c r="A21" s="63"/>
      <c r="B21" s="63"/>
      <c r="C21" s="84"/>
      <c r="D21" s="85"/>
      <c r="E21" s="62"/>
      <c r="F21" s="62"/>
      <c r="G21" s="62"/>
      <c r="H21" s="62"/>
      <c r="I21" s="62"/>
      <c r="J21" s="62"/>
      <c r="K21" s="62"/>
      <c r="L21" s="62"/>
      <c r="M21" s="62"/>
      <c r="N21" s="62"/>
      <c r="O21" s="62"/>
      <c r="P21" s="62"/>
      <c r="Q21" s="62"/>
      <c r="R21" s="62"/>
      <c r="S21" s="258"/>
      <c r="T21" s="248" t="str">
        <f t="shared" si="3"/>
        <v/>
      </c>
      <c r="U21" s="249" t="str">
        <f t="shared" si="4"/>
        <v/>
      </c>
      <c r="V21" s="294" t="str">
        <f t="shared" si="1"/>
        <v/>
      </c>
      <c r="W21" s="294" t="str">
        <f>IF(((E21="")+(F21="")),"",IF(VLOOKUP(F21,Mannschaften!$A$1:$B$54,2,FALSE)&lt;&gt;E21,"Reiter Mannschaften füllen",""))</f>
        <v/>
      </c>
      <c r="X21" s="248" t="str">
        <f>IF(ISBLANK(C21),"",IF((U21&gt;(LOOKUP(E21,WKNrListe,Übersicht!$O$7:$O$46)))+(U21&lt;(LOOKUP(E21,WKNrListe,Übersicht!$P$7:$P$46))),"JG falsch",""))</f>
        <v/>
      </c>
      <c r="Y21" s="255" t="str">
        <f>IF((A21="")*(B21=""),"",IF(ISERROR(MATCH(E21,WKNrListe,0)),"WK falsch",LOOKUP(E21,WKNrListe,Übersicht!$B$7:$B$46)))</f>
        <v/>
      </c>
      <c r="Z21" s="269" t="str">
        <f>IF(((AJ21=0)*(AH21&lt;&gt;"")*(AK21="-"))+((AJ21&lt;&gt;0)*(AH21&lt;&gt;"")*(AK21="-")),IF(AG21="X",Übersicht!$C$70,Übersicht!$C$69),"-")</f>
        <v>-</v>
      </c>
      <c r="AA21" s="252" t="str">
        <f>IF((($A21="")*($B21=""))+((MID($Y21,1,4)&lt;&gt;"Wahl")*(Deckblatt!$C$14='WK-Vorlagen'!$C$82))+(Deckblatt!$C$14&lt;&gt;'WK-Vorlagen'!$C$82),"",IF(ISERROR(MATCH(VALUE(MID(G21,1,2)),Schwierigkeitsstufen!$G$7:$G$19,0)),"Gerät falsch",LOOKUP(VALUE(MID(G21,1,2)),Schwierigkeitsstufen!$G$7:$G$19,Schwierigkeitsstufen!$H$7:$H$19)))</f>
        <v/>
      </c>
      <c r="AB21" s="250" t="str">
        <f>IF((($A21="")*($B21=""))+((MID($Y21,1,4)&lt;&gt;"Wahl")*(Deckblatt!$C$14='WK-Vorlagen'!$C$82))+(Deckblatt!$C$14&lt;&gt;'WK-Vorlagen'!$C$82),"",IF(ISERROR(MATCH(VALUE(MID(H21,1,2)),Schwierigkeitsstufen!$G$7:$G$19,0)),"Gerät falsch",LOOKUP(VALUE(MID(H21,1,2)),Schwierigkeitsstufen!$G$7:$G$19,Schwierigkeitsstufen!$H$7:$H$19)))</f>
        <v/>
      </c>
      <c r="AC21" s="250" t="str">
        <f>IF((($A21="")*($B21=""))+((MID($Y21,1,4)&lt;&gt;"Wahl")*(Deckblatt!$C$14='WK-Vorlagen'!$C$82))+(Deckblatt!$C$14&lt;&gt;'WK-Vorlagen'!$C$82),"",IF(ISERROR(MATCH(VALUE(MID(I21,1,2)),Schwierigkeitsstufen!$G$7:$G$19,0)),"Gerät falsch",LOOKUP(VALUE(MID(I21,1,2)),Schwierigkeitsstufen!$G$7:$G$19,Schwierigkeitsstufen!$H$7:$H$19)))</f>
        <v/>
      </c>
      <c r="AD21" s="251" t="str">
        <f>IF((($A21="")*($B21=""))+((MID($Y21,1,4)&lt;&gt;"Wahl")*(Deckblatt!$C$14='WK-Vorlagen'!$C$82))+(Deckblatt!$C$14&lt;&gt;'WK-Vorlagen'!$C$82),"",IF(ISERROR(MATCH(VALUE(MID(J21,1,2)),Schwierigkeitsstufen!$G$7:$G$19,0)),"Gerät falsch",LOOKUP(VALUE(MID(J21,1,2)),Schwierigkeitsstufen!$G$7:$G$19,Schwierigkeitsstufen!$H$7:$H$19)))</f>
        <v/>
      </c>
      <c r="AE21" s="211"/>
      <c r="AF21" s="237" t="s">
        <v>495</v>
      </c>
      <c r="AG21" s="221" t="str">
        <f t="shared" si="0"/>
        <v/>
      </c>
      <c r="AH21" s="222" t="str">
        <f t="shared" si="5"/>
        <v/>
      </c>
      <c r="AI21" s="220">
        <f t="shared" si="6"/>
        <v>4</v>
      </c>
      <c r="AJ21" s="222">
        <f t="shared" si="7"/>
        <v>0</v>
      </c>
      <c r="AK21" s="299" t="str">
        <f>IF(ISERROR(LOOKUP(E21,WKNrListe,Übersicht!$R$7:$R$46)),"-",LOOKUP(E21,WKNrListe,Übersicht!$R$7:$R$46))</f>
        <v>-</v>
      </c>
      <c r="AL21" s="299" t="str">
        <f t="shared" si="2"/>
        <v>-</v>
      </c>
      <c r="AM21" s="303"/>
    </row>
    <row r="22" spans="1:39" s="174" customFormat="1" ht="15" customHeight="1">
      <c r="A22" s="63"/>
      <c r="B22" s="63"/>
      <c r="C22" s="84"/>
      <c r="D22" s="85"/>
      <c r="E22" s="62"/>
      <c r="F22" s="62"/>
      <c r="G22" s="62"/>
      <c r="H22" s="62"/>
      <c r="I22" s="62"/>
      <c r="J22" s="62"/>
      <c r="K22" s="62"/>
      <c r="L22" s="62"/>
      <c r="M22" s="62"/>
      <c r="N22" s="62"/>
      <c r="O22" s="62"/>
      <c r="P22" s="62"/>
      <c r="Q22" s="62"/>
      <c r="R22" s="62"/>
      <c r="S22" s="258"/>
      <c r="T22" s="248" t="str">
        <f t="shared" si="3"/>
        <v/>
      </c>
      <c r="U22" s="249" t="str">
        <f t="shared" si="4"/>
        <v/>
      </c>
      <c r="V22" s="294" t="str">
        <f t="shared" si="1"/>
        <v/>
      </c>
      <c r="W22" s="294" t="str">
        <f>IF(((E22="")+(F22="")),"",IF(VLOOKUP(F22,Mannschaften!$A$1:$B$54,2,FALSE)&lt;&gt;E22,"Reiter Mannschaften füllen",""))</f>
        <v/>
      </c>
      <c r="X22" s="248" t="str">
        <f>IF(ISBLANK(C22),"",IF((U22&gt;(LOOKUP(E22,WKNrListe,Übersicht!$O$7:$O$46)))+(U22&lt;(LOOKUP(E22,WKNrListe,Übersicht!$P$7:$P$46))),"JG falsch",""))</f>
        <v/>
      </c>
      <c r="Y22" s="255" t="str">
        <f>IF((A22="")*(B22=""),"",IF(ISERROR(MATCH(E22,WKNrListe,0)),"WK falsch",LOOKUP(E22,WKNrListe,Übersicht!$B$7:$B$46)))</f>
        <v/>
      </c>
      <c r="Z22" s="269" t="str">
        <f>IF(((AJ22=0)*(AH22&lt;&gt;"")*(AK22="-"))+((AJ22&lt;&gt;0)*(AH22&lt;&gt;"")*(AK22="-")),IF(AG22="X",Übersicht!$C$70,Übersicht!$C$69),"-")</f>
        <v>-</v>
      </c>
      <c r="AA22" s="252" t="str">
        <f>IF((($A22="")*($B22=""))+((MID($Y22,1,4)&lt;&gt;"Wahl")*(Deckblatt!$C$14='WK-Vorlagen'!$C$82))+(Deckblatt!$C$14&lt;&gt;'WK-Vorlagen'!$C$82),"",IF(ISERROR(MATCH(VALUE(MID(G22,1,2)),Schwierigkeitsstufen!$G$7:$G$19,0)),"Gerät falsch",LOOKUP(VALUE(MID(G22,1,2)),Schwierigkeitsstufen!$G$7:$G$19,Schwierigkeitsstufen!$H$7:$H$19)))</f>
        <v/>
      </c>
      <c r="AB22" s="250" t="str">
        <f>IF((($A22="")*($B22=""))+((MID($Y22,1,4)&lt;&gt;"Wahl")*(Deckblatt!$C$14='WK-Vorlagen'!$C$82))+(Deckblatt!$C$14&lt;&gt;'WK-Vorlagen'!$C$82),"",IF(ISERROR(MATCH(VALUE(MID(H22,1,2)),Schwierigkeitsstufen!$G$7:$G$19,0)),"Gerät falsch",LOOKUP(VALUE(MID(H22,1,2)),Schwierigkeitsstufen!$G$7:$G$19,Schwierigkeitsstufen!$H$7:$H$19)))</f>
        <v/>
      </c>
      <c r="AC22" s="250" t="str">
        <f>IF((($A22="")*($B22=""))+((MID($Y22,1,4)&lt;&gt;"Wahl")*(Deckblatt!$C$14='WK-Vorlagen'!$C$82))+(Deckblatt!$C$14&lt;&gt;'WK-Vorlagen'!$C$82),"",IF(ISERROR(MATCH(VALUE(MID(I22,1,2)),Schwierigkeitsstufen!$G$7:$G$19,0)),"Gerät falsch",LOOKUP(VALUE(MID(I22,1,2)),Schwierigkeitsstufen!$G$7:$G$19,Schwierigkeitsstufen!$H$7:$H$19)))</f>
        <v/>
      </c>
      <c r="AD22" s="251" t="str">
        <f>IF((($A22="")*($B22=""))+((MID($Y22,1,4)&lt;&gt;"Wahl")*(Deckblatt!$C$14='WK-Vorlagen'!$C$82))+(Deckblatt!$C$14&lt;&gt;'WK-Vorlagen'!$C$82),"",IF(ISERROR(MATCH(VALUE(MID(J22,1,2)),Schwierigkeitsstufen!$G$7:$G$19,0)),"Gerät falsch",LOOKUP(VALUE(MID(J22,1,2)),Schwierigkeitsstufen!$G$7:$G$19,Schwierigkeitsstufen!$H$7:$H$19)))</f>
        <v/>
      </c>
      <c r="AE22" s="211"/>
      <c r="AF22" s="237" t="s">
        <v>496</v>
      </c>
      <c r="AG22" s="221" t="str">
        <f t="shared" si="0"/>
        <v/>
      </c>
      <c r="AH22" s="222" t="str">
        <f t="shared" si="5"/>
        <v/>
      </c>
      <c r="AI22" s="220">
        <f t="shared" si="6"/>
        <v>4</v>
      </c>
      <c r="AJ22" s="222">
        <f t="shared" si="7"/>
        <v>0</v>
      </c>
      <c r="AK22" s="299" t="str">
        <f>IF(ISERROR(LOOKUP(E22,WKNrListe,Übersicht!$R$7:$R$46)),"-",LOOKUP(E22,WKNrListe,Übersicht!$R$7:$R$46))</f>
        <v>-</v>
      </c>
      <c r="AL22" s="299" t="str">
        <f t="shared" si="2"/>
        <v>-</v>
      </c>
      <c r="AM22" s="303"/>
    </row>
    <row r="23" spans="1:39" s="174" customFormat="1" ht="15" customHeight="1">
      <c r="A23" s="63"/>
      <c r="B23" s="63"/>
      <c r="C23" s="84"/>
      <c r="D23" s="85"/>
      <c r="E23" s="62"/>
      <c r="F23" s="62"/>
      <c r="G23" s="62"/>
      <c r="H23" s="62"/>
      <c r="I23" s="62"/>
      <c r="J23" s="62"/>
      <c r="K23" s="62"/>
      <c r="L23" s="62"/>
      <c r="M23" s="62"/>
      <c r="N23" s="62"/>
      <c r="O23" s="62"/>
      <c r="P23" s="62"/>
      <c r="Q23" s="62"/>
      <c r="R23" s="62"/>
      <c r="S23" s="258"/>
      <c r="T23" s="248" t="str">
        <f t="shared" si="3"/>
        <v/>
      </c>
      <c r="U23" s="249" t="str">
        <f t="shared" si="4"/>
        <v/>
      </c>
      <c r="V23" s="294" t="str">
        <f t="shared" si="1"/>
        <v/>
      </c>
      <c r="W23" s="294" t="str">
        <f>IF(((E23="")+(F23="")),"",IF(VLOOKUP(F23,Mannschaften!$A$1:$B$54,2,FALSE)&lt;&gt;E23,"Reiter Mannschaften füllen",""))</f>
        <v/>
      </c>
      <c r="X23" s="248" t="str">
        <f>IF(ISBLANK(C23),"",IF((U23&gt;(LOOKUP(E23,WKNrListe,Übersicht!$O$7:$O$46)))+(U23&lt;(LOOKUP(E23,WKNrListe,Übersicht!$P$7:$P$46))),"JG falsch",""))</f>
        <v/>
      </c>
      <c r="Y23" s="255" t="str">
        <f>IF((A23="")*(B23=""),"",IF(ISERROR(MATCH(E23,WKNrListe,0)),"WK falsch",LOOKUP(E23,WKNrListe,Übersicht!$B$7:$B$46)))</f>
        <v/>
      </c>
      <c r="Z23" s="269" t="str">
        <f>IF(((AJ23=0)*(AH23&lt;&gt;"")*(AK23="-"))+((AJ23&lt;&gt;0)*(AH23&lt;&gt;"")*(AK23="-")),IF(AG23="X",Übersicht!$C$70,Übersicht!$C$69),"-")</f>
        <v>-</v>
      </c>
      <c r="AA23" s="252" t="str">
        <f>IF((($A23="")*($B23=""))+((MID($Y23,1,4)&lt;&gt;"Wahl")*(Deckblatt!$C$14='WK-Vorlagen'!$C$82))+(Deckblatt!$C$14&lt;&gt;'WK-Vorlagen'!$C$82),"",IF(ISERROR(MATCH(VALUE(MID(G23,1,2)),Schwierigkeitsstufen!$G$7:$G$19,0)),"Gerät falsch",LOOKUP(VALUE(MID(G23,1,2)),Schwierigkeitsstufen!$G$7:$G$19,Schwierigkeitsstufen!$H$7:$H$19)))</f>
        <v/>
      </c>
      <c r="AB23" s="250" t="str">
        <f>IF((($A23="")*($B23=""))+((MID($Y23,1,4)&lt;&gt;"Wahl")*(Deckblatt!$C$14='WK-Vorlagen'!$C$82))+(Deckblatt!$C$14&lt;&gt;'WK-Vorlagen'!$C$82),"",IF(ISERROR(MATCH(VALUE(MID(H23,1,2)),Schwierigkeitsstufen!$G$7:$G$19,0)),"Gerät falsch",LOOKUP(VALUE(MID(H23,1,2)),Schwierigkeitsstufen!$G$7:$G$19,Schwierigkeitsstufen!$H$7:$H$19)))</f>
        <v/>
      </c>
      <c r="AC23" s="250" t="str">
        <f>IF((($A23="")*($B23=""))+((MID($Y23,1,4)&lt;&gt;"Wahl")*(Deckblatt!$C$14='WK-Vorlagen'!$C$82))+(Deckblatt!$C$14&lt;&gt;'WK-Vorlagen'!$C$82),"",IF(ISERROR(MATCH(VALUE(MID(I23,1,2)),Schwierigkeitsstufen!$G$7:$G$19,0)),"Gerät falsch",LOOKUP(VALUE(MID(I23,1,2)),Schwierigkeitsstufen!$G$7:$G$19,Schwierigkeitsstufen!$H$7:$H$19)))</f>
        <v/>
      </c>
      <c r="AD23" s="251" t="str">
        <f>IF((($A23="")*($B23=""))+((MID($Y23,1,4)&lt;&gt;"Wahl")*(Deckblatt!$C$14='WK-Vorlagen'!$C$82))+(Deckblatt!$C$14&lt;&gt;'WK-Vorlagen'!$C$82),"",IF(ISERROR(MATCH(VALUE(MID(J23,1,2)),Schwierigkeitsstufen!$G$7:$G$19,0)),"Gerät falsch",LOOKUP(VALUE(MID(J23,1,2)),Schwierigkeitsstufen!$G$7:$G$19,Schwierigkeitsstufen!$H$7:$H$19)))</f>
        <v/>
      </c>
      <c r="AE23" s="211"/>
      <c r="AF23" s="237" t="s">
        <v>497</v>
      </c>
      <c r="AG23" s="221" t="str">
        <f t="shared" si="0"/>
        <v/>
      </c>
      <c r="AH23" s="222" t="str">
        <f t="shared" si="5"/>
        <v/>
      </c>
      <c r="AI23" s="220">
        <f t="shared" si="6"/>
        <v>4</v>
      </c>
      <c r="AJ23" s="222">
        <f t="shared" si="7"/>
        <v>0</v>
      </c>
      <c r="AK23" s="299" t="str">
        <f>IF(ISERROR(LOOKUP(E23,WKNrListe,Übersicht!$R$7:$R$46)),"-",LOOKUP(E23,WKNrListe,Übersicht!$R$7:$R$46))</f>
        <v>-</v>
      </c>
      <c r="AL23" s="299" t="str">
        <f t="shared" si="2"/>
        <v>-</v>
      </c>
      <c r="AM23" s="303"/>
    </row>
    <row r="24" spans="1:39" s="174" customFormat="1" ht="15" customHeight="1">
      <c r="A24" s="63"/>
      <c r="B24" s="63"/>
      <c r="C24" s="84"/>
      <c r="D24" s="85"/>
      <c r="E24" s="62"/>
      <c r="F24" s="62"/>
      <c r="G24" s="62"/>
      <c r="H24" s="62"/>
      <c r="I24" s="62"/>
      <c r="J24" s="62"/>
      <c r="K24" s="62"/>
      <c r="L24" s="62"/>
      <c r="M24" s="62"/>
      <c r="N24" s="62"/>
      <c r="O24" s="62"/>
      <c r="P24" s="62"/>
      <c r="Q24" s="62"/>
      <c r="R24" s="62"/>
      <c r="S24" s="258"/>
      <c r="T24" s="248" t="str">
        <f t="shared" si="3"/>
        <v/>
      </c>
      <c r="U24" s="249" t="str">
        <f t="shared" si="4"/>
        <v/>
      </c>
      <c r="V24" s="294" t="str">
        <f t="shared" si="1"/>
        <v/>
      </c>
      <c r="W24" s="294" t="str">
        <f>IF(((E24="")+(F24="")),"",IF(VLOOKUP(F24,Mannschaften!$A$1:$B$54,2,FALSE)&lt;&gt;E24,"Reiter Mannschaften füllen",""))</f>
        <v/>
      </c>
      <c r="X24" s="248" t="str">
        <f>IF(ISBLANK(C24),"",IF((U24&gt;(LOOKUP(E24,WKNrListe,Übersicht!$O$7:$O$46)))+(U24&lt;(LOOKUP(E24,WKNrListe,Übersicht!$P$7:$P$46))),"JG falsch",""))</f>
        <v/>
      </c>
      <c r="Y24" s="255" t="str">
        <f>IF((A24="")*(B24=""),"",IF(ISERROR(MATCH(E24,WKNrListe,0)),"WK falsch",LOOKUP(E24,WKNrListe,Übersicht!$B$7:$B$46)))</f>
        <v/>
      </c>
      <c r="Z24" s="269" t="str">
        <f>IF(((AJ24=0)*(AH24&lt;&gt;"")*(AK24="-"))+((AJ24&lt;&gt;0)*(AH24&lt;&gt;"")*(AK24="-")),IF(AG24="X",Übersicht!$C$70,Übersicht!$C$69),"-")</f>
        <v>-</v>
      </c>
      <c r="AA24" s="252" t="str">
        <f>IF((($A24="")*($B24=""))+((MID($Y24,1,4)&lt;&gt;"Wahl")*(Deckblatt!$C$14='WK-Vorlagen'!$C$82))+(Deckblatt!$C$14&lt;&gt;'WK-Vorlagen'!$C$82),"",IF(ISERROR(MATCH(VALUE(MID(G24,1,2)),Schwierigkeitsstufen!$G$7:$G$19,0)),"Gerät falsch",LOOKUP(VALUE(MID(G24,1,2)),Schwierigkeitsstufen!$G$7:$G$19,Schwierigkeitsstufen!$H$7:$H$19)))</f>
        <v/>
      </c>
      <c r="AB24" s="250" t="str">
        <f>IF((($A24="")*($B24=""))+((MID($Y24,1,4)&lt;&gt;"Wahl")*(Deckblatt!$C$14='WK-Vorlagen'!$C$82))+(Deckblatt!$C$14&lt;&gt;'WK-Vorlagen'!$C$82),"",IF(ISERROR(MATCH(VALUE(MID(H24,1,2)),Schwierigkeitsstufen!$G$7:$G$19,0)),"Gerät falsch",LOOKUP(VALUE(MID(H24,1,2)),Schwierigkeitsstufen!$G$7:$G$19,Schwierigkeitsstufen!$H$7:$H$19)))</f>
        <v/>
      </c>
      <c r="AC24" s="250" t="str">
        <f>IF((($A24="")*($B24=""))+((MID($Y24,1,4)&lt;&gt;"Wahl")*(Deckblatt!$C$14='WK-Vorlagen'!$C$82))+(Deckblatt!$C$14&lt;&gt;'WK-Vorlagen'!$C$82),"",IF(ISERROR(MATCH(VALUE(MID(I24,1,2)),Schwierigkeitsstufen!$G$7:$G$19,0)),"Gerät falsch",LOOKUP(VALUE(MID(I24,1,2)),Schwierigkeitsstufen!$G$7:$G$19,Schwierigkeitsstufen!$H$7:$H$19)))</f>
        <v/>
      </c>
      <c r="AD24" s="251" t="str">
        <f>IF((($A24="")*($B24=""))+((MID($Y24,1,4)&lt;&gt;"Wahl")*(Deckblatt!$C$14='WK-Vorlagen'!$C$82))+(Deckblatt!$C$14&lt;&gt;'WK-Vorlagen'!$C$82),"",IF(ISERROR(MATCH(VALUE(MID(J24,1,2)),Schwierigkeitsstufen!$G$7:$G$19,0)),"Gerät falsch",LOOKUP(VALUE(MID(J24,1,2)),Schwierigkeitsstufen!$G$7:$G$19,Schwierigkeitsstufen!$H$7:$H$19)))</f>
        <v/>
      </c>
      <c r="AE24" s="211"/>
      <c r="AF24" s="237" t="s">
        <v>523</v>
      </c>
      <c r="AG24" s="221" t="str">
        <f t="shared" si="0"/>
        <v/>
      </c>
      <c r="AH24" s="222" t="str">
        <f t="shared" si="5"/>
        <v/>
      </c>
      <c r="AI24" s="220">
        <f t="shared" si="6"/>
        <v>4</v>
      </c>
      <c r="AJ24" s="222">
        <f t="shared" si="7"/>
        <v>0</v>
      </c>
      <c r="AK24" s="299" t="str">
        <f>IF(ISERROR(LOOKUP(E24,WKNrListe,Übersicht!$R$7:$R$46)),"-",LOOKUP(E24,WKNrListe,Übersicht!$R$7:$R$46))</f>
        <v>-</v>
      </c>
      <c r="AL24" s="299" t="str">
        <f t="shared" si="2"/>
        <v>-</v>
      </c>
      <c r="AM24" s="303"/>
    </row>
    <row r="25" spans="1:39" s="174" customFormat="1" ht="15" customHeight="1">
      <c r="A25" s="63"/>
      <c r="B25" s="63"/>
      <c r="C25" s="84"/>
      <c r="D25" s="85"/>
      <c r="E25" s="62"/>
      <c r="F25" s="62"/>
      <c r="G25" s="62"/>
      <c r="H25" s="62"/>
      <c r="I25" s="62"/>
      <c r="J25" s="62"/>
      <c r="K25" s="62"/>
      <c r="L25" s="62"/>
      <c r="M25" s="62"/>
      <c r="N25" s="62"/>
      <c r="O25" s="62"/>
      <c r="P25" s="62"/>
      <c r="Q25" s="62"/>
      <c r="R25" s="62"/>
      <c r="S25" s="258"/>
      <c r="T25" s="248" t="str">
        <f t="shared" si="3"/>
        <v/>
      </c>
      <c r="U25" s="249" t="str">
        <f t="shared" si="4"/>
        <v/>
      </c>
      <c r="V25" s="294" t="str">
        <f t="shared" si="1"/>
        <v/>
      </c>
      <c r="W25" s="294" t="str">
        <f>IF(((E25="")+(F25="")),"",IF(VLOOKUP(F25,Mannschaften!$A$1:$B$54,2,FALSE)&lt;&gt;E25,"Reiter Mannschaften füllen",""))</f>
        <v/>
      </c>
      <c r="X25" s="248" t="str">
        <f>IF(ISBLANK(C25),"",IF((U25&gt;(LOOKUP(E25,WKNrListe,Übersicht!$O$7:$O$46)))+(U25&lt;(LOOKUP(E25,WKNrListe,Übersicht!$P$7:$P$46))),"JG falsch",""))</f>
        <v/>
      </c>
      <c r="Y25" s="255" t="str">
        <f>IF((A25="")*(B25=""),"",IF(ISERROR(MATCH(E25,WKNrListe,0)),"WK falsch",LOOKUP(E25,WKNrListe,Übersicht!$B$7:$B$46)))</f>
        <v/>
      </c>
      <c r="Z25" s="269" t="str">
        <f>IF(((AJ25=0)*(AH25&lt;&gt;"")*(AK25="-"))+((AJ25&lt;&gt;0)*(AH25&lt;&gt;"")*(AK25="-")),IF(AG25="X",Übersicht!$C$70,Übersicht!$C$69),"-")</f>
        <v>-</v>
      </c>
      <c r="AA25" s="252" t="str">
        <f>IF((($A25="")*($B25=""))+((MID($Y25,1,4)&lt;&gt;"Wahl")*(Deckblatt!$C$14='WK-Vorlagen'!$C$82))+(Deckblatt!$C$14&lt;&gt;'WK-Vorlagen'!$C$82),"",IF(ISERROR(MATCH(VALUE(MID(G25,1,2)),Schwierigkeitsstufen!$G$7:$G$19,0)),"Gerät falsch",LOOKUP(VALUE(MID(G25,1,2)),Schwierigkeitsstufen!$G$7:$G$19,Schwierigkeitsstufen!$H$7:$H$19)))</f>
        <v/>
      </c>
      <c r="AB25" s="250" t="str">
        <f>IF((($A25="")*($B25=""))+((MID($Y25,1,4)&lt;&gt;"Wahl")*(Deckblatt!$C$14='WK-Vorlagen'!$C$82))+(Deckblatt!$C$14&lt;&gt;'WK-Vorlagen'!$C$82),"",IF(ISERROR(MATCH(VALUE(MID(H25,1,2)),Schwierigkeitsstufen!$G$7:$G$19,0)),"Gerät falsch",LOOKUP(VALUE(MID(H25,1,2)),Schwierigkeitsstufen!$G$7:$G$19,Schwierigkeitsstufen!$H$7:$H$19)))</f>
        <v/>
      </c>
      <c r="AC25" s="250" t="str">
        <f>IF((($A25="")*($B25=""))+((MID($Y25,1,4)&lt;&gt;"Wahl")*(Deckblatt!$C$14='WK-Vorlagen'!$C$82))+(Deckblatt!$C$14&lt;&gt;'WK-Vorlagen'!$C$82),"",IF(ISERROR(MATCH(VALUE(MID(I25,1,2)),Schwierigkeitsstufen!$G$7:$G$19,0)),"Gerät falsch",LOOKUP(VALUE(MID(I25,1,2)),Schwierigkeitsstufen!$G$7:$G$19,Schwierigkeitsstufen!$H$7:$H$19)))</f>
        <v/>
      </c>
      <c r="AD25" s="251" t="str">
        <f>IF((($A25="")*($B25=""))+((MID($Y25,1,4)&lt;&gt;"Wahl")*(Deckblatt!$C$14='WK-Vorlagen'!$C$82))+(Deckblatt!$C$14&lt;&gt;'WK-Vorlagen'!$C$82),"",IF(ISERROR(MATCH(VALUE(MID(J25,1,2)),Schwierigkeitsstufen!$G$7:$G$19,0)),"Gerät falsch",LOOKUP(VALUE(MID(J25,1,2)),Schwierigkeitsstufen!$G$7:$G$19,Schwierigkeitsstufen!$H$7:$H$19)))</f>
        <v/>
      </c>
      <c r="AE25" s="211"/>
      <c r="AF25" s="237" t="s">
        <v>524</v>
      </c>
      <c r="AG25" s="221" t="str">
        <f t="shared" si="0"/>
        <v/>
      </c>
      <c r="AH25" s="222" t="str">
        <f t="shared" si="5"/>
        <v/>
      </c>
      <c r="AI25" s="220">
        <f t="shared" si="6"/>
        <v>4</v>
      </c>
      <c r="AJ25" s="222">
        <f t="shared" si="7"/>
        <v>0</v>
      </c>
      <c r="AK25" s="299" t="str">
        <f>IF(ISERROR(LOOKUP(E25,WKNrListe,Übersicht!$R$7:$R$46)),"-",LOOKUP(E25,WKNrListe,Übersicht!$R$7:$R$46))</f>
        <v>-</v>
      </c>
      <c r="AL25" s="299" t="str">
        <f t="shared" si="2"/>
        <v>-</v>
      </c>
      <c r="AM25" s="303"/>
    </row>
    <row r="26" spans="1:39" s="174" customFormat="1" ht="15" customHeight="1">
      <c r="A26" s="63"/>
      <c r="B26" s="63"/>
      <c r="C26" s="84"/>
      <c r="D26" s="85"/>
      <c r="E26" s="62"/>
      <c r="F26" s="62"/>
      <c r="G26" s="62"/>
      <c r="H26" s="62"/>
      <c r="I26" s="62"/>
      <c r="J26" s="62"/>
      <c r="K26" s="62"/>
      <c r="L26" s="62"/>
      <c r="M26" s="62"/>
      <c r="N26" s="62"/>
      <c r="O26" s="62"/>
      <c r="P26" s="62"/>
      <c r="Q26" s="62"/>
      <c r="R26" s="62"/>
      <c r="S26" s="258"/>
      <c r="T26" s="248" t="str">
        <f t="shared" si="3"/>
        <v/>
      </c>
      <c r="U26" s="249" t="str">
        <f t="shared" si="4"/>
        <v/>
      </c>
      <c r="V26" s="294" t="str">
        <f t="shared" si="1"/>
        <v/>
      </c>
      <c r="W26" s="294" t="str">
        <f>IF(((E26="")+(F26="")),"",IF(VLOOKUP(F26,Mannschaften!$A$1:$B$54,2,FALSE)&lt;&gt;E26,"Reiter Mannschaften füllen",""))</f>
        <v/>
      </c>
      <c r="X26" s="248" t="str">
        <f>IF(ISBLANK(C26),"",IF((U26&gt;(LOOKUP(E26,WKNrListe,Übersicht!$O$7:$O$46)))+(U26&lt;(LOOKUP(E26,WKNrListe,Übersicht!$P$7:$P$46))),"JG falsch",""))</f>
        <v/>
      </c>
      <c r="Y26" s="255" t="str">
        <f>IF((A26="")*(B26=""),"",IF(ISERROR(MATCH(E26,WKNrListe,0)),"WK falsch",LOOKUP(E26,WKNrListe,Übersicht!$B$7:$B$46)))</f>
        <v/>
      </c>
      <c r="Z26" s="269" t="str">
        <f>IF(((AJ26=0)*(AH26&lt;&gt;"")*(AK26="-"))+((AJ26&lt;&gt;0)*(AH26&lt;&gt;"")*(AK26="-")),IF(AG26="X",Übersicht!$C$70,Übersicht!$C$69),"-")</f>
        <v>-</v>
      </c>
      <c r="AA26" s="252" t="str">
        <f>IF((($A26="")*($B26=""))+((MID($Y26,1,4)&lt;&gt;"Wahl")*(Deckblatt!$C$14='WK-Vorlagen'!$C$82))+(Deckblatt!$C$14&lt;&gt;'WK-Vorlagen'!$C$82),"",IF(ISERROR(MATCH(VALUE(MID(G26,1,2)),Schwierigkeitsstufen!$G$7:$G$19,0)),"Gerät falsch",LOOKUP(VALUE(MID(G26,1,2)),Schwierigkeitsstufen!$G$7:$G$19,Schwierigkeitsstufen!$H$7:$H$19)))</f>
        <v/>
      </c>
      <c r="AB26" s="250" t="str">
        <f>IF((($A26="")*($B26=""))+((MID($Y26,1,4)&lt;&gt;"Wahl")*(Deckblatt!$C$14='WK-Vorlagen'!$C$82))+(Deckblatt!$C$14&lt;&gt;'WK-Vorlagen'!$C$82),"",IF(ISERROR(MATCH(VALUE(MID(H26,1,2)),Schwierigkeitsstufen!$G$7:$G$19,0)),"Gerät falsch",LOOKUP(VALUE(MID(H26,1,2)),Schwierigkeitsstufen!$G$7:$G$19,Schwierigkeitsstufen!$H$7:$H$19)))</f>
        <v/>
      </c>
      <c r="AC26" s="250" t="str">
        <f>IF((($A26="")*($B26=""))+((MID($Y26,1,4)&lt;&gt;"Wahl")*(Deckblatt!$C$14='WK-Vorlagen'!$C$82))+(Deckblatt!$C$14&lt;&gt;'WK-Vorlagen'!$C$82),"",IF(ISERROR(MATCH(VALUE(MID(I26,1,2)),Schwierigkeitsstufen!$G$7:$G$19,0)),"Gerät falsch",LOOKUP(VALUE(MID(I26,1,2)),Schwierigkeitsstufen!$G$7:$G$19,Schwierigkeitsstufen!$H$7:$H$19)))</f>
        <v/>
      </c>
      <c r="AD26" s="251" t="str">
        <f>IF((($A26="")*($B26=""))+((MID($Y26,1,4)&lt;&gt;"Wahl")*(Deckblatt!$C$14='WK-Vorlagen'!$C$82))+(Deckblatt!$C$14&lt;&gt;'WK-Vorlagen'!$C$82),"",IF(ISERROR(MATCH(VALUE(MID(J26,1,2)),Schwierigkeitsstufen!$G$7:$G$19,0)),"Gerät falsch",LOOKUP(VALUE(MID(J26,1,2)),Schwierigkeitsstufen!$G$7:$G$19,Schwierigkeitsstufen!$H$7:$H$19)))</f>
        <v/>
      </c>
      <c r="AE26" s="211"/>
      <c r="AF26" s="174" t="s">
        <v>426</v>
      </c>
      <c r="AG26" s="221" t="str">
        <f t="shared" si="0"/>
        <v/>
      </c>
      <c r="AH26" s="222" t="str">
        <f t="shared" si="5"/>
        <v/>
      </c>
      <c r="AI26" s="220">
        <f t="shared" si="6"/>
        <v>4</v>
      </c>
      <c r="AJ26" s="222">
        <f t="shared" si="7"/>
        <v>0</v>
      </c>
      <c r="AK26" s="299" t="str">
        <f>IF(ISERROR(LOOKUP(E26,WKNrListe,Übersicht!$R$7:$R$46)),"-",LOOKUP(E26,WKNrListe,Übersicht!$R$7:$R$46))</f>
        <v>-</v>
      </c>
      <c r="AL26" s="299" t="str">
        <f t="shared" si="2"/>
        <v>-</v>
      </c>
      <c r="AM26" s="303"/>
    </row>
    <row r="27" spans="1:39" s="174" customFormat="1" ht="15" customHeight="1">
      <c r="A27" s="63"/>
      <c r="B27" s="63"/>
      <c r="C27" s="84"/>
      <c r="D27" s="85"/>
      <c r="E27" s="62"/>
      <c r="F27" s="62"/>
      <c r="G27" s="62"/>
      <c r="H27" s="62"/>
      <c r="I27" s="62"/>
      <c r="J27" s="62"/>
      <c r="K27" s="62"/>
      <c r="L27" s="62"/>
      <c r="M27" s="62"/>
      <c r="N27" s="62"/>
      <c r="O27" s="62"/>
      <c r="P27" s="62"/>
      <c r="Q27" s="62"/>
      <c r="R27" s="62"/>
      <c r="S27" s="258"/>
      <c r="T27" s="248" t="str">
        <f t="shared" si="3"/>
        <v/>
      </c>
      <c r="U27" s="249" t="str">
        <f t="shared" si="4"/>
        <v/>
      </c>
      <c r="V27" s="294" t="str">
        <f t="shared" si="1"/>
        <v/>
      </c>
      <c r="W27" s="294" t="str">
        <f>IF(((E27="")+(F27="")),"",IF(VLOOKUP(F27,Mannschaften!$A$1:$B$54,2,FALSE)&lt;&gt;E27,"Reiter Mannschaften füllen",""))</f>
        <v/>
      </c>
      <c r="X27" s="248" t="str">
        <f>IF(ISBLANK(C27),"",IF((U27&gt;(LOOKUP(E27,WKNrListe,Übersicht!$O$7:$O$46)))+(U27&lt;(LOOKUP(E27,WKNrListe,Übersicht!$P$7:$P$46))),"JG falsch",""))</f>
        <v/>
      </c>
      <c r="Y27" s="255" t="str">
        <f>IF((A27="")*(B27=""),"",IF(ISERROR(MATCH(E27,WKNrListe,0)),"WK falsch",LOOKUP(E27,WKNrListe,Übersicht!$B$7:$B$46)))</f>
        <v/>
      </c>
      <c r="Z27" s="269" t="str">
        <f>IF(((AJ27=0)*(AH27&lt;&gt;"")*(AK27="-"))+((AJ27&lt;&gt;0)*(AH27&lt;&gt;"")*(AK27="-")),IF(AG27="X",Übersicht!$C$70,Übersicht!$C$69),"-")</f>
        <v>-</v>
      </c>
      <c r="AA27" s="252" t="str">
        <f>IF((($A27="")*($B27=""))+((MID($Y27,1,4)&lt;&gt;"Wahl")*(Deckblatt!$C$14='WK-Vorlagen'!$C$82))+(Deckblatt!$C$14&lt;&gt;'WK-Vorlagen'!$C$82),"",IF(ISERROR(MATCH(VALUE(MID(G27,1,2)),Schwierigkeitsstufen!$G$7:$G$19,0)),"Gerät falsch",LOOKUP(VALUE(MID(G27,1,2)),Schwierigkeitsstufen!$G$7:$G$19,Schwierigkeitsstufen!$H$7:$H$19)))</f>
        <v/>
      </c>
      <c r="AB27" s="250" t="str">
        <f>IF((($A27="")*($B27=""))+((MID($Y27,1,4)&lt;&gt;"Wahl")*(Deckblatt!$C$14='WK-Vorlagen'!$C$82))+(Deckblatt!$C$14&lt;&gt;'WK-Vorlagen'!$C$82),"",IF(ISERROR(MATCH(VALUE(MID(H27,1,2)),Schwierigkeitsstufen!$G$7:$G$19,0)),"Gerät falsch",LOOKUP(VALUE(MID(H27,1,2)),Schwierigkeitsstufen!$G$7:$G$19,Schwierigkeitsstufen!$H$7:$H$19)))</f>
        <v/>
      </c>
      <c r="AC27" s="250" t="str">
        <f>IF((($A27="")*($B27=""))+((MID($Y27,1,4)&lt;&gt;"Wahl")*(Deckblatt!$C$14='WK-Vorlagen'!$C$82))+(Deckblatt!$C$14&lt;&gt;'WK-Vorlagen'!$C$82),"",IF(ISERROR(MATCH(VALUE(MID(I27,1,2)),Schwierigkeitsstufen!$G$7:$G$19,0)),"Gerät falsch",LOOKUP(VALUE(MID(I27,1,2)),Schwierigkeitsstufen!$G$7:$G$19,Schwierigkeitsstufen!$H$7:$H$19)))</f>
        <v/>
      </c>
      <c r="AD27" s="251" t="str">
        <f>IF((($A27="")*($B27=""))+((MID($Y27,1,4)&lt;&gt;"Wahl")*(Deckblatt!$C$14='WK-Vorlagen'!$C$82))+(Deckblatt!$C$14&lt;&gt;'WK-Vorlagen'!$C$82),"",IF(ISERROR(MATCH(VALUE(MID(J27,1,2)),Schwierigkeitsstufen!$G$7:$G$19,0)),"Gerät falsch",LOOKUP(VALUE(MID(J27,1,2)),Schwierigkeitsstufen!$G$7:$G$19,Schwierigkeitsstufen!$H$7:$H$19)))</f>
        <v/>
      </c>
      <c r="AE27" s="211"/>
      <c r="AF27" s="174" t="s">
        <v>603</v>
      </c>
      <c r="AG27" s="221" t="str">
        <f t="shared" si="0"/>
        <v/>
      </c>
      <c r="AH27" s="222" t="str">
        <f t="shared" si="5"/>
        <v/>
      </c>
      <c r="AI27" s="220">
        <f t="shared" si="6"/>
        <v>4</v>
      </c>
      <c r="AJ27" s="222">
        <f t="shared" si="7"/>
        <v>0</v>
      </c>
      <c r="AK27" s="299" t="str">
        <f>IF(ISERROR(LOOKUP(E27,WKNrListe,Übersicht!$R$7:$R$46)),"-",LOOKUP(E27,WKNrListe,Übersicht!$R$7:$R$46))</f>
        <v>-</v>
      </c>
      <c r="AL27" s="299" t="str">
        <f t="shared" si="2"/>
        <v>-</v>
      </c>
      <c r="AM27" s="303"/>
    </row>
    <row r="28" spans="1:39" s="174" customFormat="1" ht="15" customHeight="1">
      <c r="A28" s="63"/>
      <c r="B28" s="63"/>
      <c r="C28" s="84"/>
      <c r="D28" s="85"/>
      <c r="E28" s="62"/>
      <c r="F28" s="62"/>
      <c r="G28" s="62"/>
      <c r="H28" s="62"/>
      <c r="I28" s="62"/>
      <c r="J28" s="62"/>
      <c r="K28" s="62"/>
      <c r="L28" s="62"/>
      <c r="M28" s="62"/>
      <c r="N28" s="62"/>
      <c r="O28" s="62"/>
      <c r="P28" s="62"/>
      <c r="Q28" s="62"/>
      <c r="R28" s="62"/>
      <c r="S28" s="258"/>
      <c r="T28" s="248" t="str">
        <f t="shared" si="3"/>
        <v/>
      </c>
      <c r="U28" s="249" t="str">
        <f t="shared" si="4"/>
        <v/>
      </c>
      <c r="V28" s="294" t="str">
        <f t="shared" si="1"/>
        <v/>
      </c>
      <c r="W28" s="294" t="str">
        <f>IF(((E28="")+(F28="")),"",IF(VLOOKUP(F28,Mannschaften!$A$1:$B$54,2,FALSE)&lt;&gt;E28,"Reiter Mannschaften füllen",""))</f>
        <v/>
      </c>
      <c r="X28" s="248" t="str">
        <f>IF(ISBLANK(C28),"",IF((U28&gt;(LOOKUP(E28,WKNrListe,Übersicht!$O$7:$O$46)))+(U28&lt;(LOOKUP(E28,WKNrListe,Übersicht!$P$7:$P$46))),"JG falsch",""))</f>
        <v/>
      </c>
      <c r="Y28" s="255" t="str">
        <f>IF((A28="")*(B28=""),"",IF(ISERROR(MATCH(E28,WKNrListe,0)),"WK falsch",LOOKUP(E28,WKNrListe,Übersicht!$B$7:$B$46)))</f>
        <v/>
      </c>
      <c r="Z28" s="269" t="str">
        <f>IF(((AJ28=0)*(AH28&lt;&gt;"")*(AK28="-"))+((AJ28&lt;&gt;0)*(AH28&lt;&gt;"")*(AK28="-")),IF(AG28="X",Übersicht!$C$70,Übersicht!$C$69),"-")</f>
        <v>-</v>
      </c>
      <c r="AA28" s="252" t="str">
        <f>IF((($A28="")*($B28=""))+((MID($Y28,1,4)&lt;&gt;"Wahl")*(Deckblatt!$C$14='WK-Vorlagen'!$C$82))+(Deckblatt!$C$14&lt;&gt;'WK-Vorlagen'!$C$82),"",IF(ISERROR(MATCH(VALUE(MID(G28,1,2)),Schwierigkeitsstufen!$G$7:$G$19,0)),"Gerät falsch",LOOKUP(VALUE(MID(G28,1,2)),Schwierigkeitsstufen!$G$7:$G$19,Schwierigkeitsstufen!$H$7:$H$19)))</f>
        <v/>
      </c>
      <c r="AB28" s="250" t="str">
        <f>IF((($A28="")*($B28=""))+((MID($Y28,1,4)&lt;&gt;"Wahl")*(Deckblatt!$C$14='WK-Vorlagen'!$C$82))+(Deckblatt!$C$14&lt;&gt;'WK-Vorlagen'!$C$82),"",IF(ISERROR(MATCH(VALUE(MID(H28,1,2)),Schwierigkeitsstufen!$G$7:$G$19,0)),"Gerät falsch",LOOKUP(VALUE(MID(H28,1,2)),Schwierigkeitsstufen!$G$7:$G$19,Schwierigkeitsstufen!$H$7:$H$19)))</f>
        <v/>
      </c>
      <c r="AC28" s="250" t="str">
        <f>IF((($A28="")*($B28=""))+((MID($Y28,1,4)&lt;&gt;"Wahl")*(Deckblatt!$C$14='WK-Vorlagen'!$C$82))+(Deckblatt!$C$14&lt;&gt;'WK-Vorlagen'!$C$82),"",IF(ISERROR(MATCH(VALUE(MID(I28,1,2)),Schwierigkeitsstufen!$G$7:$G$19,0)),"Gerät falsch",LOOKUP(VALUE(MID(I28,1,2)),Schwierigkeitsstufen!$G$7:$G$19,Schwierigkeitsstufen!$H$7:$H$19)))</f>
        <v/>
      </c>
      <c r="AD28" s="251" t="str">
        <f>IF((($A28="")*($B28=""))+((MID($Y28,1,4)&lt;&gt;"Wahl")*(Deckblatt!$C$14='WK-Vorlagen'!$C$82))+(Deckblatt!$C$14&lt;&gt;'WK-Vorlagen'!$C$82),"",IF(ISERROR(MATCH(VALUE(MID(J28,1,2)),Schwierigkeitsstufen!$G$7:$G$19,0)),"Gerät falsch",LOOKUP(VALUE(MID(J28,1,2)),Schwierigkeitsstufen!$G$7:$G$19,Schwierigkeitsstufen!$H$7:$H$19)))</f>
        <v/>
      </c>
      <c r="AE28" s="211"/>
      <c r="AF28" s="174" t="s">
        <v>427</v>
      </c>
      <c r="AG28" s="221" t="str">
        <f t="shared" si="0"/>
        <v/>
      </c>
      <c r="AH28" s="222" t="str">
        <f t="shared" si="5"/>
        <v/>
      </c>
      <c r="AI28" s="220">
        <f t="shared" si="6"/>
        <v>4</v>
      </c>
      <c r="AJ28" s="222">
        <f t="shared" si="7"/>
        <v>0</v>
      </c>
      <c r="AK28" s="299" t="str">
        <f>IF(ISERROR(LOOKUP(E28,WKNrListe,Übersicht!$R$7:$R$46)),"-",LOOKUP(E28,WKNrListe,Übersicht!$R$7:$R$46))</f>
        <v>-</v>
      </c>
      <c r="AL28" s="299" t="str">
        <f t="shared" si="2"/>
        <v>-</v>
      </c>
      <c r="AM28" s="303"/>
    </row>
    <row r="29" spans="1:39" s="174" customFormat="1" ht="15" customHeight="1">
      <c r="A29" s="63"/>
      <c r="B29" s="63"/>
      <c r="C29" s="84"/>
      <c r="D29" s="85"/>
      <c r="E29" s="62"/>
      <c r="F29" s="62"/>
      <c r="G29" s="62"/>
      <c r="H29" s="62"/>
      <c r="I29" s="62"/>
      <c r="J29" s="62"/>
      <c r="K29" s="62"/>
      <c r="L29" s="62"/>
      <c r="M29" s="62"/>
      <c r="N29" s="62"/>
      <c r="O29" s="62"/>
      <c r="P29" s="62"/>
      <c r="Q29" s="62"/>
      <c r="R29" s="62"/>
      <c r="S29" s="258"/>
      <c r="T29" s="248" t="str">
        <f t="shared" si="3"/>
        <v/>
      </c>
      <c r="U29" s="249" t="str">
        <f t="shared" si="4"/>
        <v/>
      </c>
      <c r="V29" s="294" t="str">
        <f t="shared" si="1"/>
        <v/>
      </c>
      <c r="W29" s="294" t="str">
        <f>IF(((E29="")+(F29="")),"",IF(VLOOKUP(F29,Mannschaften!$A$1:$B$54,2,FALSE)&lt;&gt;E29,"Reiter Mannschaften füllen",""))</f>
        <v/>
      </c>
      <c r="X29" s="248" t="str">
        <f>IF(ISBLANK(C29),"",IF((U29&gt;(LOOKUP(E29,WKNrListe,Übersicht!$O$7:$O$46)))+(U29&lt;(LOOKUP(E29,WKNrListe,Übersicht!$P$7:$P$46))),"JG falsch",""))</f>
        <v/>
      </c>
      <c r="Y29" s="255" t="str">
        <f>IF((A29="")*(B29=""),"",IF(ISERROR(MATCH(E29,WKNrListe,0)),"WK falsch",LOOKUP(E29,WKNrListe,Übersicht!$B$7:$B$46)))</f>
        <v/>
      </c>
      <c r="Z29" s="269" t="str">
        <f>IF(((AJ29=0)*(AH29&lt;&gt;"")*(AK29="-"))+((AJ29&lt;&gt;0)*(AH29&lt;&gt;"")*(AK29="-")),IF(AG29="X",Übersicht!$C$70,Übersicht!$C$69),"-")</f>
        <v>-</v>
      </c>
      <c r="AA29" s="252" t="str">
        <f>IF((($A29="")*($B29=""))+((MID($Y29,1,4)&lt;&gt;"Wahl")*(Deckblatt!$C$14='WK-Vorlagen'!$C$82))+(Deckblatt!$C$14&lt;&gt;'WK-Vorlagen'!$C$82),"",IF(ISERROR(MATCH(VALUE(MID(G29,1,2)),Schwierigkeitsstufen!$G$7:$G$19,0)),"Gerät falsch",LOOKUP(VALUE(MID(G29,1,2)),Schwierigkeitsstufen!$G$7:$G$19,Schwierigkeitsstufen!$H$7:$H$19)))</f>
        <v/>
      </c>
      <c r="AB29" s="250" t="str">
        <f>IF((($A29="")*($B29=""))+((MID($Y29,1,4)&lt;&gt;"Wahl")*(Deckblatt!$C$14='WK-Vorlagen'!$C$82))+(Deckblatt!$C$14&lt;&gt;'WK-Vorlagen'!$C$82),"",IF(ISERROR(MATCH(VALUE(MID(H29,1,2)),Schwierigkeitsstufen!$G$7:$G$19,0)),"Gerät falsch",LOOKUP(VALUE(MID(H29,1,2)),Schwierigkeitsstufen!$G$7:$G$19,Schwierigkeitsstufen!$H$7:$H$19)))</f>
        <v/>
      </c>
      <c r="AC29" s="250" t="str">
        <f>IF((($A29="")*($B29=""))+((MID($Y29,1,4)&lt;&gt;"Wahl")*(Deckblatt!$C$14='WK-Vorlagen'!$C$82))+(Deckblatt!$C$14&lt;&gt;'WK-Vorlagen'!$C$82),"",IF(ISERROR(MATCH(VALUE(MID(I29,1,2)),Schwierigkeitsstufen!$G$7:$G$19,0)),"Gerät falsch",LOOKUP(VALUE(MID(I29,1,2)),Schwierigkeitsstufen!$G$7:$G$19,Schwierigkeitsstufen!$H$7:$H$19)))</f>
        <v/>
      </c>
      <c r="AD29" s="251" t="str">
        <f>IF((($A29="")*($B29=""))+((MID($Y29,1,4)&lt;&gt;"Wahl")*(Deckblatt!$C$14='WK-Vorlagen'!$C$82))+(Deckblatt!$C$14&lt;&gt;'WK-Vorlagen'!$C$82),"",IF(ISERROR(MATCH(VALUE(MID(J29,1,2)),Schwierigkeitsstufen!$G$7:$G$19,0)),"Gerät falsch",LOOKUP(VALUE(MID(J29,1,2)),Schwierigkeitsstufen!$G$7:$G$19,Schwierigkeitsstufen!$H$7:$H$19)))</f>
        <v/>
      </c>
      <c r="AE29" s="211"/>
      <c r="AF29" s="174" t="s">
        <v>604</v>
      </c>
      <c r="AG29" s="221" t="str">
        <f t="shared" si="0"/>
        <v/>
      </c>
      <c r="AH29" s="222" t="str">
        <f t="shared" si="5"/>
        <v/>
      </c>
      <c r="AI29" s="220">
        <f t="shared" si="6"/>
        <v>4</v>
      </c>
      <c r="AJ29" s="222">
        <f t="shared" si="7"/>
        <v>0</v>
      </c>
      <c r="AK29" s="299" t="str">
        <f>IF(ISERROR(LOOKUP(E29,WKNrListe,Übersicht!$R$7:$R$46)),"-",LOOKUP(E29,WKNrListe,Übersicht!$R$7:$R$46))</f>
        <v>-</v>
      </c>
      <c r="AL29" s="299" t="str">
        <f t="shared" si="2"/>
        <v>-</v>
      </c>
      <c r="AM29" s="303"/>
    </row>
    <row r="30" spans="1:39" s="174" customFormat="1" ht="15" customHeight="1">
      <c r="A30" s="63"/>
      <c r="B30" s="63"/>
      <c r="C30" s="84"/>
      <c r="D30" s="85"/>
      <c r="E30" s="62"/>
      <c r="F30" s="62"/>
      <c r="G30" s="62"/>
      <c r="H30" s="62"/>
      <c r="I30" s="62"/>
      <c r="J30" s="62"/>
      <c r="K30" s="62"/>
      <c r="L30" s="62"/>
      <c r="M30" s="62"/>
      <c r="N30" s="62"/>
      <c r="O30" s="62"/>
      <c r="P30" s="62"/>
      <c r="Q30" s="62"/>
      <c r="R30" s="62"/>
      <c r="S30" s="258"/>
      <c r="T30" s="248" t="str">
        <f t="shared" si="3"/>
        <v/>
      </c>
      <c r="U30" s="249" t="str">
        <f t="shared" si="4"/>
        <v/>
      </c>
      <c r="V30" s="294" t="str">
        <f t="shared" si="1"/>
        <v/>
      </c>
      <c r="W30" s="294" t="str">
        <f>IF(((E30="")+(F30="")),"",IF(VLOOKUP(F30,Mannschaften!$A$1:$B$54,2,FALSE)&lt;&gt;E30,"Reiter Mannschaften füllen",""))</f>
        <v/>
      </c>
      <c r="X30" s="248" t="str">
        <f>IF(ISBLANK(C30),"",IF((U30&gt;(LOOKUP(E30,WKNrListe,Übersicht!$O$7:$O$46)))+(U30&lt;(LOOKUP(E30,WKNrListe,Übersicht!$P$7:$P$46))),"JG falsch",""))</f>
        <v/>
      </c>
      <c r="Y30" s="255" t="str">
        <f>IF((A30="")*(B30=""),"",IF(ISERROR(MATCH(E30,WKNrListe,0)),"WK falsch",LOOKUP(E30,WKNrListe,Übersicht!$B$7:$B$46)))</f>
        <v/>
      </c>
      <c r="Z30" s="269" t="str">
        <f>IF(((AJ30=0)*(AH30&lt;&gt;"")*(AK30="-"))+((AJ30&lt;&gt;0)*(AH30&lt;&gt;"")*(AK30="-")),IF(AG30="X",Übersicht!$C$70,Übersicht!$C$69),"-")</f>
        <v>-</v>
      </c>
      <c r="AA30" s="252" t="str">
        <f>IF((($A30="")*($B30=""))+((MID($Y30,1,4)&lt;&gt;"Wahl")*(Deckblatt!$C$14='WK-Vorlagen'!$C$82))+(Deckblatt!$C$14&lt;&gt;'WK-Vorlagen'!$C$82),"",IF(ISERROR(MATCH(VALUE(MID(G30,1,2)),Schwierigkeitsstufen!$G$7:$G$19,0)),"Gerät falsch",LOOKUP(VALUE(MID(G30,1,2)),Schwierigkeitsstufen!$G$7:$G$19,Schwierigkeitsstufen!$H$7:$H$19)))</f>
        <v/>
      </c>
      <c r="AB30" s="250" t="str">
        <f>IF((($A30="")*($B30=""))+((MID($Y30,1,4)&lt;&gt;"Wahl")*(Deckblatt!$C$14='WK-Vorlagen'!$C$82))+(Deckblatt!$C$14&lt;&gt;'WK-Vorlagen'!$C$82),"",IF(ISERROR(MATCH(VALUE(MID(H30,1,2)),Schwierigkeitsstufen!$G$7:$G$19,0)),"Gerät falsch",LOOKUP(VALUE(MID(H30,1,2)),Schwierigkeitsstufen!$G$7:$G$19,Schwierigkeitsstufen!$H$7:$H$19)))</f>
        <v/>
      </c>
      <c r="AC30" s="250" t="str">
        <f>IF((($A30="")*($B30=""))+((MID($Y30,1,4)&lt;&gt;"Wahl")*(Deckblatt!$C$14='WK-Vorlagen'!$C$82))+(Deckblatt!$C$14&lt;&gt;'WK-Vorlagen'!$C$82),"",IF(ISERROR(MATCH(VALUE(MID(I30,1,2)),Schwierigkeitsstufen!$G$7:$G$19,0)),"Gerät falsch",LOOKUP(VALUE(MID(I30,1,2)),Schwierigkeitsstufen!$G$7:$G$19,Schwierigkeitsstufen!$H$7:$H$19)))</f>
        <v/>
      </c>
      <c r="AD30" s="251" t="str">
        <f>IF((($A30="")*($B30=""))+((MID($Y30,1,4)&lt;&gt;"Wahl")*(Deckblatt!$C$14='WK-Vorlagen'!$C$82))+(Deckblatt!$C$14&lt;&gt;'WK-Vorlagen'!$C$82),"",IF(ISERROR(MATCH(VALUE(MID(J30,1,2)),Schwierigkeitsstufen!$G$7:$G$19,0)),"Gerät falsch",LOOKUP(VALUE(MID(J30,1,2)),Schwierigkeitsstufen!$G$7:$G$19,Schwierigkeitsstufen!$H$7:$H$19)))</f>
        <v/>
      </c>
      <c r="AE30" s="211"/>
      <c r="AF30" s="174" t="s">
        <v>541</v>
      </c>
      <c r="AG30" s="221" t="str">
        <f t="shared" si="0"/>
        <v/>
      </c>
      <c r="AH30" s="222" t="str">
        <f t="shared" si="5"/>
        <v/>
      </c>
      <c r="AI30" s="220">
        <f t="shared" si="6"/>
        <v>4</v>
      </c>
      <c r="AJ30" s="222">
        <f t="shared" si="7"/>
        <v>0</v>
      </c>
      <c r="AK30" s="299" t="str">
        <f>IF(ISERROR(LOOKUP(E30,WKNrListe,Übersicht!$R$7:$R$46)),"-",LOOKUP(E30,WKNrListe,Übersicht!$R$7:$R$46))</f>
        <v>-</v>
      </c>
      <c r="AL30" s="299" t="str">
        <f t="shared" si="2"/>
        <v>-</v>
      </c>
      <c r="AM30" s="303"/>
    </row>
    <row r="31" spans="1:39" s="174" customFormat="1" ht="15" customHeight="1">
      <c r="A31" s="63"/>
      <c r="B31" s="63"/>
      <c r="C31" s="84"/>
      <c r="D31" s="85"/>
      <c r="E31" s="62"/>
      <c r="F31" s="62"/>
      <c r="G31" s="62"/>
      <c r="H31" s="62"/>
      <c r="I31" s="62"/>
      <c r="J31" s="62"/>
      <c r="K31" s="62"/>
      <c r="L31" s="62"/>
      <c r="M31" s="62"/>
      <c r="N31" s="62"/>
      <c r="O31" s="62"/>
      <c r="P31" s="62"/>
      <c r="Q31" s="62"/>
      <c r="R31" s="62"/>
      <c r="S31" s="258"/>
      <c r="T31" s="248" t="str">
        <f t="shared" si="3"/>
        <v/>
      </c>
      <c r="U31" s="249" t="str">
        <f t="shared" si="4"/>
        <v/>
      </c>
      <c r="V31" s="294" t="str">
        <f t="shared" si="1"/>
        <v/>
      </c>
      <c r="W31" s="294" t="str">
        <f>IF(((E31="")+(F31="")),"",IF(VLOOKUP(F31,Mannschaften!$A$1:$B$54,2,FALSE)&lt;&gt;E31,"Reiter Mannschaften füllen",""))</f>
        <v/>
      </c>
      <c r="X31" s="248" t="str">
        <f>IF(ISBLANK(C31),"",IF((U31&gt;(LOOKUP(E31,WKNrListe,Übersicht!$O$7:$O$46)))+(U31&lt;(LOOKUP(E31,WKNrListe,Übersicht!$P$7:$P$46))),"JG falsch",""))</f>
        <v/>
      </c>
      <c r="Y31" s="255" t="str">
        <f>IF((A31="")*(B31=""),"",IF(ISERROR(MATCH(E31,WKNrListe,0)),"WK falsch",LOOKUP(E31,WKNrListe,Übersicht!$B$7:$B$46)))</f>
        <v/>
      </c>
      <c r="Z31" s="269" t="str">
        <f>IF(((AJ31=0)*(AH31&lt;&gt;"")*(AK31="-"))+((AJ31&lt;&gt;0)*(AH31&lt;&gt;"")*(AK31="-")),IF(AG31="X",Übersicht!$C$70,Übersicht!$C$69),"-")</f>
        <v>-</v>
      </c>
      <c r="AA31" s="252" t="str">
        <f>IF((($A31="")*($B31=""))+((MID($Y31,1,4)&lt;&gt;"Wahl")*(Deckblatt!$C$14='WK-Vorlagen'!$C$82))+(Deckblatt!$C$14&lt;&gt;'WK-Vorlagen'!$C$82),"",IF(ISERROR(MATCH(VALUE(MID(G31,1,2)),Schwierigkeitsstufen!$G$7:$G$19,0)),"Gerät falsch",LOOKUP(VALUE(MID(G31,1,2)),Schwierigkeitsstufen!$G$7:$G$19,Schwierigkeitsstufen!$H$7:$H$19)))</f>
        <v/>
      </c>
      <c r="AB31" s="250" t="str">
        <f>IF((($A31="")*($B31=""))+((MID($Y31,1,4)&lt;&gt;"Wahl")*(Deckblatt!$C$14='WK-Vorlagen'!$C$82))+(Deckblatt!$C$14&lt;&gt;'WK-Vorlagen'!$C$82),"",IF(ISERROR(MATCH(VALUE(MID(H31,1,2)),Schwierigkeitsstufen!$G$7:$G$19,0)),"Gerät falsch",LOOKUP(VALUE(MID(H31,1,2)),Schwierigkeitsstufen!$G$7:$G$19,Schwierigkeitsstufen!$H$7:$H$19)))</f>
        <v/>
      </c>
      <c r="AC31" s="250" t="str">
        <f>IF((($A31="")*($B31=""))+((MID($Y31,1,4)&lt;&gt;"Wahl")*(Deckblatt!$C$14='WK-Vorlagen'!$C$82))+(Deckblatt!$C$14&lt;&gt;'WK-Vorlagen'!$C$82),"",IF(ISERROR(MATCH(VALUE(MID(I31,1,2)),Schwierigkeitsstufen!$G$7:$G$19,0)),"Gerät falsch",LOOKUP(VALUE(MID(I31,1,2)),Schwierigkeitsstufen!$G$7:$G$19,Schwierigkeitsstufen!$H$7:$H$19)))</f>
        <v/>
      </c>
      <c r="AD31" s="251" t="str">
        <f>IF((($A31="")*($B31=""))+((MID($Y31,1,4)&lt;&gt;"Wahl")*(Deckblatt!$C$14='WK-Vorlagen'!$C$82))+(Deckblatt!$C$14&lt;&gt;'WK-Vorlagen'!$C$82),"",IF(ISERROR(MATCH(VALUE(MID(J31,1,2)),Schwierigkeitsstufen!$G$7:$G$19,0)),"Gerät falsch",LOOKUP(VALUE(MID(J31,1,2)),Schwierigkeitsstufen!$G$7:$G$19,Schwierigkeitsstufen!$H$7:$H$19)))</f>
        <v/>
      </c>
      <c r="AE31" s="211"/>
      <c r="AF31" s="174" t="s">
        <v>514</v>
      </c>
      <c r="AG31" s="221" t="str">
        <f t="shared" si="0"/>
        <v/>
      </c>
      <c r="AH31" s="222" t="str">
        <f t="shared" si="5"/>
        <v/>
      </c>
      <c r="AI31" s="220">
        <f t="shared" si="6"/>
        <v>4</v>
      </c>
      <c r="AJ31" s="222">
        <f t="shared" si="7"/>
        <v>0</v>
      </c>
      <c r="AK31" s="299" t="str">
        <f>IF(ISERROR(LOOKUP(E31,WKNrListe,Übersicht!$R$7:$R$46)),"-",LOOKUP(E31,WKNrListe,Übersicht!$R$7:$R$46))</f>
        <v>-</v>
      </c>
      <c r="AL31" s="299" t="str">
        <f t="shared" si="2"/>
        <v>-</v>
      </c>
      <c r="AM31" s="303"/>
    </row>
    <row r="32" spans="1:39" s="174" customFormat="1" ht="15" customHeight="1">
      <c r="A32" s="63"/>
      <c r="B32" s="63"/>
      <c r="C32" s="84"/>
      <c r="D32" s="85"/>
      <c r="E32" s="62"/>
      <c r="F32" s="62"/>
      <c r="G32" s="62"/>
      <c r="H32" s="62"/>
      <c r="I32" s="62"/>
      <c r="J32" s="62"/>
      <c r="K32" s="62"/>
      <c r="L32" s="62"/>
      <c r="M32" s="62"/>
      <c r="N32" s="62"/>
      <c r="O32" s="62"/>
      <c r="P32" s="62"/>
      <c r="Q32" s="62"/>
      <c r="R32" s="62"/>
      <c r="S32" s="258"/>
      <c r="T32" s="248" t="str">
        <f t="shared" si="3"/>
        <v/>
      </c>
      <c r="U32" s="249" t="str">
        <f t="shared" si="4"/>
        <v/>
      </c>
      <c r="V32" s="294" t="str">
        <f t="shared" si="1"/>
        <v/>
      </c>
      <c r="W32" s="294" t="str">
        <f>IF(((E32="")+(F32="")),"",IF(VLOOKUP(F32,Mannschaften!$A$1:$B$54,2,FALSE)&lt;&gt;E32,"Reiter Mannschaften füllen",""))</f>
        <v/>
      </c>
      <c r="X32" s="248" t="str">
        <f>IF(ISBLANK(C32),"",IF((U32&gt;(LOOKUP(E32,WKNrListe,Übersicht!$O$7:$O$46)))+(U32&lt;(LOOKUP(E32,WKNrListe,Übersicht!$P$7:$P$46))),"JG falsch",""))</f>
        <v/>
      </c>
      <c r="Y32" s="255" t="str">
        <f>IF((A32="")*(B32=""),"",IF(ISERROR(MATCH(E32,WKNrListe,0)),"WK falsch",LOOKUP(E32,WKNrListe,Übersicht!$B$7:$B$46)))</f>
        <v/>
      </c>
      <c r="Z32" s="269" t="str">
        <f>IF(((AJ32=0)*(AH32&lt;&gt;"")*(AK32="-"))+((AJ32&lt;&gt;0)*(AH32&lt;&gt;"")*(AK32="-")),IF(AG32="X",Übersicht!$C$70,Übersicht!$C$69),"-")</f>
        <v>-</v>
      </c>
      <c r="AA32" s="252" t="str">
        <f>IF((($A32="")*($B32=""))+((MID($Y32,1,4)&lt;&gt;"Wahl")*(Deckblatt!$C$14='WK-Vorlagen'!$C$82))+(Deckblatt!$C$14&lt;&gt;'WK-Vorlagen'!$C$82),"",IF(ISERROR(MATCH(VALUE(MID(G32,1,2)),Schwierigkeitsstufen!$G$7:$G$19,0)),"Gerät falsch",LOOKUP(VALUE(MID(G32,1,2)),Schwierigkeitsstufen!$G$7:$G$19,Schwierigkeitsstufen!$H$7:$H$19)))</f>
        <v/>
      </c>
      <c r="AB32" s="250" t="str">
        <f>IF((($A32="")*($B32=""))+((MID($Y32,1,4)&lt;&gt;"Wahl")*(Deckblatt!$C$14='WK-Vorlagen'!$C$82))+(Deckblatt!$C$14&lt;&gt;'WK-Vorlagen'!$C$82),"",IF(ISERROR(MATCH(VALUE(MID(H32,1,2)),Schwierigkeitsstufen!$G$7:$G$19,0)),"Gerät falsch",LOOKUP(VALUE(MID(H32,1,2)),Schwierigkeitsstufen!$G$7:$G$19,Schwierigkeitsstufen!$H$7:$H$19)))</f>
        <v/>
      </c>
      <c r="AC32" s="250" t="str">
        <f>IF((($A32="")*($B32=""))+((MID($Y32,1,4)&lt;&gt;"Wahl")*(Deckblatt!$C$14='WK-Vorlagen'!$C$82))+(Deckblatt!$C$14&lt;&gt;'WK-Vorlagen'!$C$82),"",IF(ISERROR(MATCH(VALUE(MID(I32,1,2)),Schwierigkeitsstufen!$G$7:$G$19,0)),"Gerät falsch",LOOKUP(VALUE(MID(I32,1,2)),Schwierigkeitsstufen!$G$7:$G$19,Schwierigkeitsstufen!$H$7:$H$19)))</f>
        <v/>
      </c>
      <c r="AD32" s="251" t="str">
        <f>IF((($A32="")*($B32=""))+((MID($Y32,1,4)&lt;&gt;"Wahl")*(Deckblatt!$C$14='WK-Vorlagen'!$C$82))+(Deckblatt!$C$14&lt;&gt;'WK-Vorlagen'!$C$82),"",IF(ISERROR(MATCH(VALUE(MID(J32,1,2)),Schwierigkeitsstufen!$G$7:$G$19,0)),"Gerät falsch",LOOKUP(VALUE(MID(J32,1,2)),Schwierigkeitsstufen!$G$7:$G$19,Schwierigkeitsstufen!$H$7:$H$19)))</f>
        <v/>
      </c>
      <c r="AE32" s="211"/>
      <c r="AF32" s="174" t="s">
        <v>515</v>
      </c>
      <c r="AG32" s="221" t="str">
        <f t="shared" si="0"/>
        <v/>
      </c>
      <c r="AH32" s="222" t="str">
        <f t="shared" si="5"/>
        <v/>
      </c>
      <c r="AI32" s="220">
        <f t="shared" si="6"/>
        <v>4</v>
      </c>
      <c r="AJ32" s="222">
        <f t="shared" si="7"/>
        <v>0</v>
      </c>
      <c r="AK32" s="299" t="str">
        <f>IF(ISERROR(LOOKUP(E32,WKNrListe,Übersicht!$R$7:$R$46)),"-",LOOKUP(E32,WKNrListe,Übersicht!$R$7:$R$46))</f>
        <v>-</v>
      </c>
      <c r="AL32" s="299" t="str">
        <f t="shared" si="2"/>
        <v>-</v>
      </c>
      <c r="AM32" s="303"/>
    </row>
    <row r="33" spans="1:40" s="174" customFormat="1" ht="15" customHeight="1">
      <c r="A33" s="63"/>
      <c r="B33" s="63"/>
      <c r="C33" s="84"/>
      <c r="D33" s="85"/>
      <c r="E33" s="62"/>
      <c r="F33" s="62"/>
      <c r="G33" s="62"/>
      <c r="H33" s="62"/>
      <c r="I33" s="62"/>
      <c r="J33" s="62"/>
      <c r="K33" s="62"/>
      <c r="L33" s="62"/>
      <c r="M33" s="62"/>
      <c r="N33" s="62"/>
      <c r="O33" s="62"/>
      <c r="P33" s="62"/>
      <c r="Q33" s="62"/>
      <c r="R33" s="62"/>
      <c r="S33" s="258"/>
      <c r="T33" s="248" t="str">
        <f t="shared" si="3"/>
        <v/>
      </c>
      <c r="U33" s="249" t="str">
        <f t="shared" si="4"/>
        <v/>
      </c>
      <c r="V33" s="294" t="str">
        <f t="shared" si="1"/>
        <v/>
      </c>
      <c r="W33" s="294" t="str">
        <f>IF(((E33="")+(F33="")),"",IF(VLOOKUP(F33,Mannschaften!$A$1:$B$54,2,FALSE)&lt;&gt;E33,"Reiter Mannschaften füllen",""))</f>
        <v/>
      </c>
      <c r="X33" s="248" t="str">
        <f>IF(ISBLANK(C33),"",IF((U33&gt;(LOOKUP(E33,WKNrListe,Übersicht!$O$7:$O$46)))+(U33&lt;(LOOKUP(E33,WKNrListe,Übersicht!$P$7:$P$46))),"JG falsch",""))</f>
        <v/>
      </c>
      <c r="Y33" s="255" t="str">
        <f>IF((A33="")*(B33=""),"",IF(ISERROR(MATCH(E33,WKNrListe,0)),"WK falsch",LOOKUP(E33,WKNrListe,Übersicht!$B$7:$B$46)))</f>
        <v/>
      </c>
      <c r="Z33" s="269" t="str">
        <f>IF(((AJ33=0)*(AH33&lt;&gt;"")*(AK33="-"))+((AJ33&lt;&gt;0)*(AH33&lt;&gt;"")*(AK33="-")),IF(AG33="X",Übersicht!$C$70,Übersicht!$C$69),"-")</f>
        <v>-</v>
      </c>
      <c r="AA33" s="252" t="str">
        <f>IF((($A33="")*($B33=""))+((MID($Y33,1,4)&lt;&gt;"Wahl")*(Deckblatt!$C$14='WK-Vorlagen'!$C$82))+(Deckblatt!$C$14&lt;&gt;'WK-Vorlagen'!$C$82),"",IF(ISERROR(MATCH(VALUE(MID(G33,1,2)),Schwierigkeitsstufen!$G$7:$G$19,0)),"Gerät falsch",LOOKUP(VALUE(MID(G33,1,2)),Schwierigkeitsstufen!$G$7:$G$19,Schwierigkeitsstufen!$H$7:$H$19)))</f>
        <v/>
      </c>
      <c r="AB33" s="250" t="str">
        <f>IF((($A33="")*($B33=""))+((MID($Y33,1,4)&lt;&gt;"Wahl")*(Deckblatt!$C$14='WK-Vorlagen'!$C$82))+(Deckblatt!$C$14&lt;&gt;'WK-Vorlagen'!$C$82),"",IF(ISERROR(MATCH(VALUE(MID(H33,1,2)),Schwierigkeitsstufen!$G$7:$G$19,0)),"Gerät falsch",LOOKUP(VALUE(MID(H33,1,2)),Schwierigkeitsstufen!$G$7:$G$19,Schwierigkeitsstufen!$H$7:$H$19)))</f>
        <v/>
      </c>
      <c r="AC33" s="250" t="str">
        <f>IF((($A33="")*($B33=""))+((MID($Y33,1,4)&lt;&gt;"Wahl")*(Deckblatt!$C$14='WK-Vorlagen'!$C$82))+(Deckblatt!$C$14&lt;&gt;'WK-Vorlagen'!$C$82),"",IF(ISERROR(MATCH(VALUE(MID(I33,1,2)),Schwierigkeitsstufen!$G$7:$G$19,0)),"Gerät falsch",LOOKUP(VALUE(MID(I33,1,2)),Schwierigkeitsstufen!$G$7:$G$19,Schwierigkeitsstufen!$H$7:$H$19)))</f>
        <v/>
      </c>
      <c r="AD33" s="251" t="str">
        <f>IF((($A33="")*($B33=""))+((MID($Y33,1,4)&lt;&gt;"Wahl")*(Deckblatt!$C$14='WK-Vorlagen'!$C$82))+(Deckblatt!$C$14&lt;&gt;'WK-Vorlagen'!$C$82),"",IF(ISERROR(MATCH(VALUE(MID(J33,1,2)),Schwierigkeitsstufen!$G$7:$G$19,0)),"Gerät falsch",LOOKUP(VALUE(MID(J33,1,2)),Schwierigkeitsstufen!$G$7:$G$19,Schwierigkeitsstufen!$H$7:$H$19)))</f>
        <v/>
      </c>
      <c r="AE33" s="211"/>
      <c r="AF33" s="174" t="s">
        <v>542</v>
      </c>
      <c r="AG33" s="221" t="str">
        <f t="shared" si="0"/>
        <v/>
      </c>
      <c r="AH33" s="222" t="str">
        <f t="shared" si="5"/>
        <v/>
      </c>
      <c r="AI33" s="220">
        <f t="shared" si="6"/>
        <v>4</v>
      </c>
      <c r="AJ33" s="222">
        <f t="shared" si="7"/>
        <v>0</v>
      </c>
      <c r="AK33" s="299" t="str">
        <f>IF(ISERROR(LOOKUP(E33,WKNrListe,Übersicht!$R$7:$R$46)),"-",LOOKUP(E33,WKNrListe,Übersicht!$R$7:$R$46))</f>
        <v>-</v>
      </c>
      <c r="AL33" s="299" t="str">
        <f t="shared" si="2"/>
        <v>-</v>
      </c>
      <c r="AM33" s="303"/>
    </row>
    <row r="34" spans="1:40" s="174" customFormat="1" ht="15" customHeight="1">
      <c r="A34" s="63"/>
      <c r="B34" s="63"/>
      <c r="C34" s="84"/>
      <c r="D34" s="85"/>
      <c r="E34" s="62"/>
      <c r="F34" s="62"/>
      <c r="G34" s="62"/>
      <c r="H34" s="62"/>
      <c r="I34" s="62"/>
      <c r="J34" s="62"/>
      <c r="K34" s="62"/>
      <c r="L34" s="62"/>
      <c r="M34" s="62"/>
      <c r="N34" s="62"/>
      <c r="O34" s="62"/>
      <c r="P34" s="62"/>
      <c r="Q34" s="62"/>
      <c r="R34" s="62"/>
      <c r="S34" s="258"/>
      <c r="T34" s="248" t="str">
        <f t="shared" si="3"/>
        <v/>
      </c>
      <c r="U34" s="249" t="str">
        <f t="shared" si="4"/>
        <v/>
      </c>
      <c r="V34" s="294" t="str">
        <f t="shared" si="1"/>
        <v/>
      </c>
      <c r="W34" s="294" t="str">
        <f>IF(((E34="")+(F34="")),"",IF(VLOOKUP(F34,Mannschaften!$A$1:$B$54,2,FALSE)&lt;&gt;E34,"Reiter Mannschaften füllen",""))</f>
        <v/>
      </c>
      <c r="X34" s="248" t="str">
        <f>IF(ISBLANK(C34),"",IF((U34&gt;(LOOKUP(E34,WKNrListe,Übersicht!$O$7:$O$46)))+(U34&lt;(LOOKUP(E34,WKNrListe,Übersicht!$P$7:$P$46))),"JG falsch",""))</f>
        <v/>
      </c>
      <c r="Y34" s="255" t="str">
        <f>IF((A34="")*(B34=""),"",IF(ISERROR(MATCH(E34,WKNrListe,0)),"WK falsch",LOOKUP(E34,WKNrListe,Übersicht!$B$7:$B$46)))</f>
        <v/>
      </c>
      <c r="Z34" s="269" t="str">
        <f>IF(((AJ34=0)*(AH34&lt;&gt;"")*(AK34="-"))+((AJ34&lt;&gt;0)*(AH34&lt;&gt;"")*(AK34="-")),IF(AG34="X",Übersicht!$C$70,Übersicht!$C$69),"-")</f>
        <v>-</v>
      </c>
      <c r="AA34" s="252" t="str">
        <f>IF((($A34="")*($B34=""))+((MID($Y34,1,4)&lt;&gt;"Wahl")*(Deckblatt!$C$14='WK-Vorlagen'!$C$82))+(Deckblatt!$C$14&lt;&gt;'WK-Vorlagen'!$C$82),"",IF(ISERROR(MATCH(VALUE(MID(G34,1,2)),Schwierigkeitsstufen!$G$7:$G$19,0)),"Gerät falsch",LOOKUP(VALUE(MID(G34,1,2)),Schwierigkeitsstufen!$G$7:$G$19,Schwierigkeitsstufen!$H$7:$H$19)))</f>
        <v/>
      </c>
      <c r="AB34" s="250" t="str">
        <f>IF((($A34="")*($B34=""))+((MID($Y34,1,4)&lt;&gt;"Wahl")*(Deckblatt!$C$14='WK-Vorlagen'!$C$82))+(Deckblatt!$C$14&lt;&gt;'WK-Vorlagen'!$C$82),"",IF(ISERROR(MATCH(VALUE(MID(H34,1,2)),Schwierigkeitsstufen!$G$7:$G$19,0)),"Gerät falsch",LOOKUP(VALUE(MID(H34,1,2)),Schwierigkeitsstufen!$G$7:$G$19,Schwierigkeitsstufen!$H$7:$H$19)))</f>
        <v/>
      </c>
      <c r="AC34" s="250" t="str">
        <f>IF((($A34="")*($B34=""))+((MID($Y34,1,4)&lt;&gt;"Wahl")*(Deckblatt!$C$14='WK-Vorlagen'!$C$82))+(Deckblatt!$C$14&lt;&gt;'WK-Vorlagen'!$C$82),"",IF(ISERROR(MATCH(VALUE(MID(I34,1,2)),Schwierigkeitsstufen!$G$7:$G$19,0)),"Gerät falsch",LOOKUP(VALUE(MID(I34,1,2)),Schwierigkeitsstufen!$G$7:$G$19,Schwierigkeitsstufen!$H$7:$H$19)))</f>
        <v/>
      </c>
      <c r="AD34" s="251" t="str">
        <f>IF((($A34="")*($B34=""))+((MID($Y34,1,4)&lt;&gt;"Wahl")*(Deckblatt!$C$14='WK-Vorlagen'!$C$82))+(Deckblatt!$C$14&lt;&gt;'WK-Vorlagen'!$C$82),"",IF(ISERROR(MATCH(VALUE(MID(J34,1,2)),Schwierigkeitsstufen!$G$7:$G$19,0)),"Gerät falsch",LOOKUP(VALUE(MID(J34,1,2)),Schwierigkeitsstufen!$G$7:$G$19,Schwierigkeitsstufen!$H$7:$H$19)))</f>
        <v/>
      </c>
      <c r="AE34" s="211"/>
      <c r="AF34" s="174" t="s">
        <v>516</v>
      </c>
      <c r="AG34" s="221" t="str">
        <f t="shared" si="0"/>
        <v/>
      </c>
      <c r="AH34" s="222" t="str">
        <f t="shared" si="5"/>
        <v/>
      </c>
      <c r="AI34" s="220">
        <f t="shared" si="6"/>
        <v>4</v>
      </c>
      <c r="AJ34" s="222">
        <f t="shared" si="7"/>
        <v>0</v>
      </c>
      <c r="AK34" s="299" t="str">
        <f>IF(ISERROR(LOOKUP(E34,WKNrListe,Übersicht!$R$7:$R$46)),"-",LOOKUP(E34,WKNrListe,Übersicht!$R$7:$R$46))</f>
        <v>-</v>
      </c>
      <c r="AL34" s="299" t="str">
        <f t="shared" si="2"/>
        <v>-</v>
      </c>
      <c r="AM34" s="303"/>
    </row>
    <row r="35" spans="1:40" s="174" customFormat="1" ht="15" customHeight="1">
      <c r="A35" s="63"/>
      <c r="B35" s="63"/>
      <c r="C35" s="84"/>
      <c r="D35" s="85"/>
      <c r="E35" s="62"/>
      <c r="F35" s="62"/>
      <c r="G35" s="62"/>
      <c r="H35" s="62"/>
      <c r="I35" s="62"/>
      <c r="J35" s="62"/>
      <c r="K35" s="62"/>
      <c r="L35" s="62"/>
      <c r="M35" s="62"/>
      <c r="N35" s="62"/>
      <c r="O35" s="62"/>
      <c r="P35" s="62"/>
      <c r="Q35" s="62"/>
      <c r="R35" s="62"/>
      <c r="S35" s="258"/>
      <c r="T35" s="248" t="str">
        <f t="shared" si="3"/>
        <v/>
      </c>
      <c r="U35" s="249" t="str">
        <f t="shared" si="4"/>
        <v/>
      </c>
      <c r="V35" s="294" t="str">
        <f t="shared" si="1"/>
        <v/>
      </c>
      <c r="W35" s="294" t="str">
        <f>IF(((E35="")+(F35="")),"",IF(VLOOKUP(F35,Mannschaften!$A$1:$B$54,2,FALSE)&lt;&gt;E35,"Reiter Mannschaften füllen",""))</f>
        <v/>
      </c>
      <c r="X35" s="248" t="str">
        <f>IF(ISBLANK(C35),"",IF((U35&gt;(LOOKUP(E35,WKNrListe,Übersicht!$O$7:$O$46)))+(U35&lt;(LOOKUP(E35,WKNrListe,Übersicht!$P$7:$P$46))),"JG falsch",""))</f>
        <v/>
      </c>
      <c r="Y35" s="255" t="str">
        <f>IF((A35="")*(B35=""),"",IF(ISERROR(MATCH(E35,WKNrListe,0)),"WK falsch",LOOKUP(E35,WKNrListe,Übersicht!$B$7:$B$46)))</f>
        <v/>
      </c>
      <c r="Z35" s="269" t="str">
        <f>IF(((AJ35=0)*(AH35&lt;&gt;"")*(AK35="-"))+((AJ35&lt;&gt;0)*(AH35&lt;&gt;"")*(AK35="-")),IF(AG35="X",Übersicht!$C$70,Übersicht!$C$69),"-")</f>
        <v>-</v>
      </c>
      <c r="AA35" s="252" t="str">
        <f>IF((($A35="")*($B35=""))+((MID($Y35,1,4)&lt;&gt;"Wahl")*(Deckblatt!$C$14='WK-Vorlagen'!$C$82))+(Deckblatt!$C$14&lt;&gt;'WK-Vorlagen'!$C$82),"",IF(ISERROR(MATCH(VALUE(MID(G35,1,2)),Schwierigkeitsstufen!$G$7:$G$19,0)),"Gerät falsch",LOOKUP(VALUE(MID(G35,1,2)),Schwierigkeitsstufen!$G$7:$G$19,Schwierigkeitsstufen!$H$7:$H$19)))</f>
        <v/>
      </c>
      <c r="AB35" s="250" t="str">
        <f>IF((($A35="")*($B35=""))+((MID($Y35,1,4)&lt;&gt;"Wahl")*(Deckblatt!$C$14='WK-Vorlagen'!$C$82))+(Deckblatt!$C$14&lt;&gt;'WK-Vorlagen'!$C$82),"",IF(ISERROR(MATCH(VALUE(MID(H35,1,2)),Schwierigkeitsstufen!$G$7:$G$19,0)),"Gerät falsch",LOOKUP(VALUE(MID(H35,1,2)),Schwierigkeitsstufen!$G$7:$G$19,Schwierigkeitsstufen!$H$7:$H$19)))</f>
        <v/>
      </c>
      <c r="AC35" s="250" t="str">
        <f>IF((($A35="")*($B35=""))+((MID($Y35,1,4)&lt;&gt;"Wahl")*(Deckblatt!$C$14='WK-Vorlagen'!$C$82))+(Deckblatt!$C$14&lt;&gt;'WK-Vorlagen'!$C$82),"",IF(ISERROR(MATCH(VALUE(MID(I35,1,2)),Schwierigkeitsstufen!$G$7:$G$19,0)),"Gerät falsch",LOOKUP(VALUE(MID(I35,1,2)),Schwierigkeitsstufen!$G$7:$G$19,Schwierigkeitsstufen!$H$7:$H$19)))</f>
        <v/>
      </c>
      <c r="AD35" s="251" t="str">
        <f>IF((($A35="")*($B35=""))+((MID($Y35,1,4)&lt;&gt;"Wahl")*(Deckblatt!$C$14='WK-Vorlagen'!$C$82))+(Deckblatt!$C$14&lt;&gt;'WK-Vorlagen'!$C$82),"",IF(ISERROR(MATCH(VALUE(MID(J35,1,2)),Schwierigkeitsstufen!$G$7:$G$19,0)),"Gerät falsch",LOOKUP(VALUE(MID(J35,1,2)),Schwierigkeitsstufen!$G$7:$G$19,Schwierigkeitsstufen!$H$7:$H$19)))</f>
        <v/>
      </c>
      <c r="AE35" s="211"/>
      <c r="AF35" s="174" t="s">
        <v>605</v>
      </c>
      <c r="AG35" s="221" t="str">
        <f t="shared" si="0"/>
        <v/>
      </c>
      <c r="AH35" s="222" t="str">
        <f t="shared" si="5"/>
        <v/>
      </c>
      <c r="AI35" s="220">
        <f t="shared" si="6"/>
        <v>4</v>
      </c>
      <c r="AJ35" s="222">
        <f t="shared" si="7"/>
        <v>0</v>
      </c>
      <c r="AK35" s="299" t="str">
        <f>IF(ISERROR(LOOKUP(E35,WKNrListe,Übersicht!$R$7:$R$46)),"-",LOOKUP(E35,WKNrListe,Übersicht!$R$7:$R$46))</f>
        <v>-</v>
      </c>
      <c r="AL35" s="299" t="str">
        <f t="shared" si="2"/>
        <v>-</v>
      </c>
      <c r="AM35" s="303"/>
    </row>
    <row r="36" spans="1:40" s="174" customFormat="1" ht="15" customHeight="1">
      <c r="A36" s="63"/>
      <c r="B36" s="63"/>
      <c r="C36" s="84"/>
      <c r="D36" s="85"/>
      <c r="E36" s="62"/>
      <c r="F36" s="62"/>
      <c r="G36" s="62"/>
      <c r="H36" s="62"/>
      <c r="I36" s="62"/>
      <c r="J36" s="62"/>
      <c r="K36" s="62"/>
      <c r="L36" s="62"/>
      <c r="M36" s="62"/>
      <c r="N36" s="62"/>
      <c r="O36" s="62"/>
      <c r="P36" s="62"/>
      <c r="Q36" s="62"/>
      <c r="R36" s="62"/>
      <c r="S36" s="258"/>
      <c r="T36" s="248" t="str">
        <f t="shared" si="3"/>
        <v/>
      </c>
      <c r="U36" s="249" t="str">
        <f t="shared" si="4"/>
        <v/>
      </c>
      <c r="V36" s="294" t="str">
        <f t="shared" si="1"/>
        <v/>
      </c>
      <c r="W36" s="294" t="str">
        <f>IF(((E36="")+(F36="")),"",IF(VLOOKUP(F36,Mannschaften!$A$1:$B$54,2,FALSE)&lt;&gt;E36,"Reiter Mannschaften füllen",""))</f>
        <v/>
      </c>
      <c r="X36" s="248" t="str">
        <f>IF(ISBLANK(C36),"",IF((U36&gt;(LOOKUP(E36,WKNrListe,Übersicht!$O$7:$O$46)))+(U36&lt;(LOOKUP(E36,WKNrListe,Übersicht!$P$7:$P$46))),"JG falsch",""))</f>
        <v/>
      </c>
      <c r="Y36" s="255" t="str">
        <f>IF((A36="")*(B36=""),"",IF(ISERROR(MATCH(E36,WKNrListe,0)),"WK falsch",LOOKUP(E36,WKNrListe,Übersicht!$B$7:$B$46)))</f>
        <v/>
      </c>
      <c r="Z36" s="269" t="str">
        <f>IF(((AJ36=0)*(AH36&lt;&gt;"")*(AK36="-"))+((AJ36&lt;&gt;0)*(AH36&lt;&gt;"")*(AK36="-")),IF(AG36="X",Übersicht!$C$70,Übersicht!$C$69),"-")</f>
        <v>-</v>
      </c>
      <c r="AA36" s="252" t="str">
        <f>IF((($A36="")*($B36=""))+((MID($Y36,1,4)&lt;&gt;"Wahl")*(Deckblatt!$C$14='WK-Vorlagen'!$C$82))+(Deckblatt!$C$14&lt;&gt;'WK-Vorlagen'!$C$82),"",IF(ISERROR(MATCH(VALUE(MID(G36,1,2)),Schwierigkeitsstufen!$G$7:$G$19,0)),"Gerät falsch",LOOKUP(VALUE(MID(G36,1,2)),Schwierigkeitsstufen!$G$7:$G$19,Schwierigkeitsstufen!$H$7:$H$19)))</f>
        <v/>
      </c>
      <c r="AB36" s="250" t="str">
        <f>IF((($A36="")*($B36=""))+((MID($Y36,1,4)&lt;&gt;"Wahl")*(Deckblatt!$C$14='WK-Vorlagen'!$C$82))+(Deckblatt!$C$14&lt;&gt;'WK-Vorlagen'!$C$82),"",IF(ISERROR(MATCH(VALUE(MID(H36,1,2)),Schwierigkeitsstufen!$G$7:$G$19,0)),"Gerät falsch",LOOKUP(VALUE(MID(H36,1,2)),Schwierigkeitsstufen!$G$7:$G$19,Schwierigkeitsstufen!$H$7:$H$19)))</f>
        <v/>
      </c>
      <c r="AC36" s="250" t="str">
        <f>IF((($A36="")*($B36=""))+((MID($Y36,1,4)&lt;&gt;"Wahl")*(Deckblatt!$C$14='WK-Vorlagen'!$C$82))+(Deckblatt!$C$14&lt;&gt;'WK-Vorlagen'!$C$82),"",IF(ISERROR(MATCH(VALUE(MID(I36,1,2)),Schwierigkeitsstufen!$G$7:$G$19,0)),"Gerät falsch",LOOKUP(VALUE(MID(I36,1,2)),Schwierigkeitsstufen!$G$7:$G$19,Schwierigkeitsstufen!$H$7:$H$19)))</f>
        <v/>
      </c>
      <c r="AD36" s="251" t="str">
        <f>IF((($A36="")*($B36=""))+((MID($Y36,1,4)&lt;&gt;"Wahl")*(Deckblatt!$C$14='WK-Vorlagen'!$C$82))+(Deckblatt!$C$14&lt;&gt;'WK-Vorlagen'!$C$82),"",IF(ISERROR(MATCH(VALUE(MID(J36,1,2)),Schwierigkeitsstufen!$G$7:$G$19,0)),"Gerät falsch",LOOKUP(VALUE(MID(J36,1,2)),Schwierigkeitsstufen!$G$7:$G$19,Schwierigkeitsstufen!$H$7:$H$19)))</f>
        <v/>
      </c>
      <c r="AE36" s="211"/>
      <c r="AF36" s="174" t="s">
        <v>543</v>
      </c>
      <c r="AG36" s="221" t="str">
        <f t="shared" si="0"/>
        <v/>
      </c>
      <c r="AH36" s="222" t="str">
        <f t="shared" si="5"/>
        <v/>
      </c>
      <c r="AI36" s="220">
        <f t="shared" si="6"/>
        <v>4</v>
      </c>
      <c r="AJ36" s="222">
        <f t="shared" si="7"/>
        <v>0</v>
      </c>
      <c r="AK36" s="299" t="str">
        <f>IF(ISERROR(LOOKUP(E36,WKNrListe,Übersicht!$R$7:$R$46)),"-",LOOKUP(E36,WKNrListe,Übersicht!$R$7:$R$46))</f>
        <v>-</v>
      </c>
      <c r="AL36" s="299" t="str">
        <f t="shared" si="2"/>
        <v>-</v>
      </c>
      <c r="AM36" s="303"/>
    </row>
    <row r="37" spans="1:40" s="174" customFormat="1" ht="15" customHeight="1">
      <c r="A37" s="63"/>
      <c r="B37" s="63"/>
      <c r="C37" s="84"/>
      <c r="D37" s="85"/>
      <c r="E37" s="62"/>
      <c r="F37" s="62"/>
      <c r="G37" s="62"/>
      <c r="H37" s="62"/>
      <c r="I37" s="62"/>
      <c r="J37" s="62"/>
      <c r="K37" s="62"/>
      <c r="L37" s="62"/>
      <c r="M37" s="62"/>
      <c r="N37" s="62"/>
      <c r="O37" s="62"/>
      <c r="P37" s="62"/>
      <c r="Q37" s="62"/>
      <c r="R37" s="62"/>
      <c r="S37" s="258"/>
      <c r="T37" s="248" t="str">
        <f t="shared" si="3"/>
        <v/>
      </c>
      <c r="U37" s="249" t="str">
        <f t="shared" si="4"/>
        <v/>
      </c>
      <c r="V37" s="294" t="str">
        <f t="shared" si="1"/>
        <v/>
      </c>
      <c r="W37" s="294" t="str">
        <f>IF(((E37="")+(F37="")),"",IF(VLOOKUP(F37,Mannschaften!$A$1:$B$54,2,FALSE)&lt;&gt;E37,"Reiter Mannschaften füllen",""))</f>
        <v/>
      </c>
      <c r="X37" s="248" t="str">
        <f>IF(ISBLANK(C37),"",IF((U37&gt;(LOOKUP(E37,WKNrListe,Übersicht!$O$7:$O$46)))+(U37&lt;(LOOKUP(E37,WKNrListe,Übersicht!$P$7:$P$46))),"JG falsch",""))</f>
        <v/>
      </c>
      <c r="Y37" s="255" t="str">
        <f>IF((A37="")*(B37=""),"",IF(ISERROR(MATCH(E37,WKNrListe,0)),"WK falsch",LOOKUP(E37,WKNrListe,Übersicht!$B$7:$B$46)))</f>
        <v/>
      </c>
      <c r="Z37" s="269" t="str">
        <f>IF(((AJ37=0)*(AH37&lt;&gt;"")*(AK37="-"))+((AJ37&lt;&gt;0)*(AH37&lt;&gt;"")*(AK37="-")),IF(AG37="X",Übersicht!$C$70,Übersicht!$C$69),"-")</f>
        <v>-</v>
      </c>
      <c r="AA37" s="252" t="str">
        <f>IF((($A37="")*($B37=""))+((MID($Y37,1,4)&lt;&gt;"Wahl")*(Deckblatt!$C$14='WK-Vorlagen'!$C$82))+(Deckblatt!$C$14&lt;&gt;'WK-Vorlagen'!$C$82),"",IF(ISERROR(MATCH(VALUE(MID(G37,1,2)),Schwierigkeitsstufen!$G$7:$G$19,0)),"Gerät falsch",LOOKUP(VALUE(MID(G37,1,2)),Schwierigkeitsstufen!$G$7:$G$19,Schwierigkeitsstufen!$H$7:$H$19)))</f>
        <v/>
      </c>
      <c r="AB37" s="250" t="str">
        <f>IF((($A37="")*($B37=""))+((MID($Y37,1,4)&lt;&gt;"Wahl")*(Deckblatt!$C$14='WK-Vorlagen'!$C$82))+(Deckblatt!$C$14&lt;&gt;'WK-Vorlagen'!$C$82),"",IF(ISERROR(MATCH(VALUE(MID(H37,1,2)),Schwierigkeitsstufen!$G$7:$G$19,0)),"Gerät falsch",LOOKUP(VALUE(MID(H37,1,2)),Schwierigkeitsstufen!$G$7:$G$19,Schwierigkeitsstufen!$H$7:$H$19)))</f>
        <v/>
      </c>
      <c r="AC37" s="250" t="str">
        <f>IF((($A37="")*($B37=""))+((MID($Y37,1,4)&lt;&gt;"Wahl")*(Deckblatt!$C$14='WK-Vorlagen'!$C$82))+(Deckblatt!$C$14&lt;&gt;'WK-Vorlagen'!$C$82),"",IF(ISERROR(MATCH(VALUE(MID(I37,1,2)),Schwierigkeitsstufen!$G$7:$G$19,0)),"Gerät falsch",LOOKUP(VALUE(MID(I37,1,2)),Schwierigkeitsstufen!$G$7:$G$19,Schwierigkeitsstufen!$H$7:$H$19)))</f>
        <v/>
      </c>
      <c r="AD37" s="251" t="str">
        <f>IF((($A37="")*($B37=""))+((MID($Y37,1,4)&lt;&gt;"Wahl")*(Deckblatt!$C$14='WK-Vorlagen'!$C$82))+(Deckblatt!$C$14&lt;&gt;'WK-Vorlagen'!$C$82),"",IF(ISERROR(MATCH(VALUE(MID(J37,1,2)),Schwierigkeitsstufen!$G$7:$G$19,0)),"Gerät falsch",LOOKUP(VALUE(MID(J37,1,2)),Schwierigkeitsstufen!$G$7:$G$19,Schwierigkeitsstufen!$H$7:$H$19)))</f>
        <v/>
      </c>
      <c r="AE37" s="211"/>
      <c r="AF37" s="174" t="s">
        <v>544</v>
      </c>
      <c r="AG37" s="221" t="str">
        <f t="shared" si="0"/>
        <v/>
      </c>
      <c r="AH37" s="222" t="str">
        <f t="shared" si="5"/>
        <v/>
      </c>
      <c r="AI37" s="220">
        <f t="shared" si="6"/>
        <v>4</v>
      </c>
      <c r="AJ37" s="222">
        <f t="shared" si="7"/>
        <v>0</v>
      </c>
      <c r="AK37" s="299" t="str">
        <f>IF(ISERROR(LOOKUP(E37,WKNrListe,Übersicht!$R$7:$R$46)),"-",LOOKUP(E37,WKNrListe,Übersicht!$R$7:$R$46))</f>
        <v>-</v>
      </c>
      <c r="AL37" s="299" t="str">
        <f t="shared" si="2"/>
        <v>-</v>
      </c>
      <c r="AM37" s="303"/>
    </row>
    <row r="38" spans="1:40" s="174" customFormat="1" ht="15" customHeight="1">
      <c r="A38" s="63"/>
      <c r="B38" s="63"/>
      <c r="C38" s="84"/>
      <c r="D38" s="85"/>
      <c r="E38" s="62"/>
      <c r="F38" s="62"/>
      <c r="G38" s="62"/>
      <c r="H38" s="62"/>
      <c r="I38" s="62"/>
      <c r="J38" s="62"/>
      <c r="K38" s="62"/>
      <c r="L38" s="62"/>
      <c r="M38" s="62"/>
      <c r="N38" s="62"/>
      <c r="O38" s="62"/>
      <c r="P38" s="62"/>
      <c r="Q38" s="62"/>
      <c r="R38" s="62"/>
      <c r="S38" s="258"/>
      <c r="T38" s="248" t="str">
        <f t="shared" si="3"/>
        <v/>
      </c>
      <c r="U38" s="249" t="str">
        <f t="shared" si="4"/>
        <v/>
      </c>
      <c r="V38" s="294" t="str">
        <f t="shared" si="1"/>
        <v/>
      </c>
      <c r="W38" s="294" t="str">
        <f>IF(((E38="")+(F38="")),"",IF(VLOOKUP(F38,Mannschaften!$A$1:$B$54,2,FALSE)&lt;&gt;E38,"Reiter Mannschaften füllen",""))</f>
        <v/>
      </c>
      <c r="X38" s="248" t="str">
        <f>IF(ISBLANK(C38),"",IF((U38&gt;(LOOKUP(E38,WKNrListe,Übersicht!$O$7:$O$46)))+(U38&lt;(LOOKUP(E38,WKNrListe,Übersicht!$P$7:$P$46))),"JG falsch",""))</f>
        <v/>
      </c>
      <c r="Y38" s="255" t="str">
        <f>IF((A38="")*(B38=""),"",IF(ISERROR(MATCH(E38,WKNrListe,0)),"WK falsch",LOOKUP(E38,WKNrListe,Übersicht!$B$7:$B$46)))</f>
        <v/>
      </c>
      <c r="Z38" s="269" t="str">
        <f>IF(((AJ38=0)*(AH38&lt;&gt;"")*(AK38="-"))+((AJ38&lt;&gt;0)*(AH38&lt;&gt;"")*(AK38="-")),IF(AG38="X",Übersicht!$C$70,Übersicht!$C$69),"-")</f>
        <v>-</v>
      </c>
      <c r="AA38" s="252" t="str">
        <f>IF((($A38="")*($B38=""))+((MID($Y38,1,4)&lt;&gt;"Wahl")*(Deckblatt!$C$14='WK-Vorlagen'!$C$82))+(Deckblatt!$C$14&lt;&gt;'WK-Vorlagen'!$C$82),"",IF(ISERROR(MATCH(VALUE(MID(G38,1,2)),Schwierigkeitsstufen!$G$7:$G$19,0)),"Gerät falsch",LOOKUP(VALUE(MID(G38,1,2)),Schwierigkeitsstufen!$G$7:$G$19,Schwierigkeitsstufen!$H$7:$H$19)))</f>
        <v/>
      </c>
      <c r="AB38" s="250" t="str">
        <f>IF((($A38="")*($B38=""))+((MID($Y38,1,4)&lt;&gt;"Wahl")*(Deckblatt!$C$14='WK-Vorlagen'!$C$82))+(Deckblatt!$C$14&lt;&gt;'WK-Vorlagen'!$C$82),"",IF(ISERROR(MATCH(VALUE(MID(H38,1,2)),Schwierigkeitsstufen!$G$7:$G$19,0)),"Gerät falsch",LOOKUP(VALUE(MID(H38,1,2)),Schwierigkeitsstufen!$G$7:$G$19,Schwierigkeitsstufen!$H$7:$H$19)))</f>
        <v/>
      </c>
      <c r="AC38" s="250" t="str">
        <f>IF((($A38="")*($B38=""))+((MID($Y38,1,4)&lt;&gt;"Wahl")*(Deckblatt!$C$14='WK-Vorlagen'!$C$82))+(Deckblatt!$C$14&lt;&gt;'WK-Vorlagen'!$C$82),"",IF(ISERROR(MATCH(VALUE(MID(I38,1,2)),Schwierigkeitsstufen!$G$7:$G$19,0)),"Gerät falsch",LOOKUP(VALUE(MID(I38,1,2)),Schwierigkeitsstufen!$G$7:$G$19,Schwierigkeitsstufen!$H$7:$H$19)))</f>
        <v/>
      </c>
      <c r="AD38" s="251" t="str">
        <f>IF((($A38="")*($B38=""))+((MID($Y38,1,4)&lt;&gt;"Wahl")*(Deckblatt!$C$14='WK-Vorlagen'!$C$82))+(Deckblatt!$C$14&lt;&gt;'WK-Vorlagen'!$C$82),"",IF(ISERROR(MATCH(VALUE(MID(J38,1,2)),Schwierigkeitsstufen!$G$7:$G$19,0)),"Gerät falsch",LOOKUP(VALUE(MID(J38,1,2)),Schwierigkeitsstufen!$G$7:$G$19,Schwierigkeitsstufen!$H$7:$H$19)))</f>
        <v/>
      </c>
      <c r="AE38" s="211"/>
      <c r="AF38" s="174" t="s">
        <v>545</v>
      </c>
      <c r="AG38" s="221" t="str">
        <f t="shared" si="0"/>
        <v/>
      </c>
      <c r="AH38" s="222" t="str">
        <f t="shared" si="5"/>
        <v/>
      </c>
      <c r="AI38" s="220">
        <f t="shared" si="6"/>
        <v>4</v>
      </c>
      <c r="AJ38" s="222">
        <f t="shared" si="7"/>
        <v>0</v>
      </c>
      <c r="AK38" s="299" t="str">
        <f>IF(ISERROR(LOOKUP(E38,WKNrListe,Übersicht!$R$7:$R$46)),"-",LOOKUP(E38,WKNrListe,Übersicht!$R$7:$R$46))</f>
        <v>-</v>
      </c>
      <c r="AL38" s="299" t="str">
        <f t="shared" si="2"/>
        <v>-</v>
      </c>
      <c r="AM38" s="303"/>
    </row>
    <row r="39" spans="1:40" s="174" customFormat="1" ht="15" customHeight="1">
      <c r="A39" s="63"/>
      <c r="B39" s="63"/>
      <c r="C39" s="84"/>
      <c r="D39" s="85"/>
      <c r="E39" s="62"/>
      <c r="F39" s="62"/>
      <c r="G39" s="62"/>
      <c r="H39" s="62"/>
      <c r="I39" s="62"/>
      <c r="J39" s="62"/>
      <c r="K39" s="62"/>
      <c r="L39" s="62"/>
      <c r="M39" s="62"/>
      <c r="N39" s="62"/>
      <c r="O39" s="62"/>
      <c r="P39" s="62"/>
      <c r="Q39" s="62"/>
      <c r="R39" s="62"/>
      <c r="S39" s="258"/>
      <c r="T39" s="248" t="str">
        <f t="shared" si="3"/>
        <v/>
      </c>
      <c r="U39" s="249" t="str">
        <f t="shared" si="4"/>
        <v/>
      </c>
      <c r="V39" s="294" t="str">
        <f t="shared" si="1"/>
        <v/>
      </c>
      <c r="W39" s="294" t="str">
        <f>IF(((E39="")+(F39="")),"",IF(VLOOKUP(F39,Mannschaften!$A$1:$B$54,2,FALSE)&lt;&gt;E39,"Reiter Mannschaften füllen",""))</f>
        <v/>
      </c>
      <c r="X39" s="248" t="str">
        <f>IF(ISBLANK(C39),"",IF((U39&gt;(LOOKUP(E39,WKNrListe,Übersicht!$O$7:$O$46)))+(U39&lt;(LOOKUP(E39,WKNrListe,Übersicht!$P$7:$P$46))),"JG falsch",""))</f>
        <v/>
      </c>
      <c r="Y39" s="255" t="str">
        <f>IF((A39="")*(B39=""),"",IF(ISERROR(MATCH(E39,WKNrListe,0)),"WK falsch",LOOKUP(E39,WKNrListe,Übersicht!$B$7:$B$46)))</f>
        <v/>
      </c>
      <c r="Z39" s="269" t="str">
        <f>IF(((AJ39=0)*(AH39&lt;&gt;"")*(AK39="-"))+((AJ39&lt;&gt;0)*(AH39&lt;&gt;"")*(AK39="-")),IF(AG39="X",Übersicht!$C$70,Übersicht!$C$69),"-")</f>
        <v>-</v>
      </c>
      <c r="AA39" s="252" t="str">
        <f>IF((($A39="")*($B39=""))+((MID($Y39,1,4)&lt;&gt;"Wahl")*(Deckblatt!$C$14='WK-Vorlagen'!$C$82))+(Deckblatt!$C$14&lt;&gt;'WK-Vorlagen'!$C$82),"",IF(ISERROR(MATCH(VALUE(MID(G39,1,2)),Schwierigkeitsstufen!$G$7:$G$19,0)),"Gerät falsch",LOOKUP(VALUE(MID(G39,1,2)),Schwierigkeitsstufen!$G$7:$G$19,Schwierigkeitsstufen!$H$7:$H$19)))</f>
        <v/>
      </c>
      <c r="AB39" s="250" t="str">
        <f>IF((($A39="")*($B39=""))+((MID($Y39,1,4)&lt;&gt;"Wahl")*(Deckblatt!$C$14='WK-Vorlagen'!$C$82))+(Deckblatt!$C$14&lt;&gt;'WK-Vorlagen'!$C$82),"",IF(ISERROR(MATCH(VALUE(MID(H39,1,2)),Schwierigkeitsstufen!$G$7:$G$19,0)),"Gerät falsch",LOOKUP(VALUE(MID(H39,1,2)),Schwierigkeitsstufen!$G$7:$G$19,Schwierigkeitsstufen!$H$7:$H$19)))</f>
        <v/>
      </c>
      <c r="AC39" s="250" t="str">
        <f>IF((($A39="")*($B39=""))+((MID($Y39,1,4)&lt;&gt;"Wahl")*(Deckblatt!$C$14='WK-Vorlagen'!$C$82))+(Deckblatt!$C$14&lt;&gt;'WK-Vorlagen'!$C$82),"",IF(ISERROR(MATCH(VALUE(MID(I39,1,2)),Schwierigkeitsstufen!$G$7:$G$19,0)),"Gerät falsch",LOOKUP(VALUE(MID(I39,1,2)),Schwierigkeitsstufen!$G$7:$G$19,Schwierigkeitsstufen!$H$7:$H$19)))</f>
        <v/>
      </c>
      <c r="AD39" s="251" t="str">
        <f>IF((($A39="")*($B39=""))+((MID($Y39,1,4)&lt;&gt;"Wahl")*(Deckblatt!$C$14='WK-Vorlagen'!$C$82))+(Deckblatt!$C$14&lt;&gt;'WK-Vorlagen'!$C$82),"",IF(ISERROR(MATCH(VALUE(MID(J39,1,2)),Schwierigkeitsstufen!$G$7:$G$19,0)),"Gerät falsch",LOOKUP(VALUE(MID(J39,1,2)),Schwierigkeitsstufen!$G$7:$G$19,Schwierigkeitsstufen!$H$7:$H$19)))</f>
        <v/>
      </c>
      <c r="AE39" s="211"/>
      <c r="AF39" s="174" t="s">
        <v>606</v>
      </c>
      <c r="AG39" s="221" t="str">
        <f t="shared" si="0"/>
        <v/>
      </c>
      <c r="AH39" s="222" t="str">
        <f t="shared" si="5"/>
        <v/>
      </c>
      <c r="AI39" s="220">
        <f t="shared" si="6"/>
        <v>4</v>
      </c>
      <c r="AJ39" s="222">
        <f t="shared" si="7"/>
        <v>0</v>
      </c>
      <c r="AK39" s="299" t="str">
        <f>IF(ISERROR(LOOKUP(E39,WKNrListe,Übersicht!$R$7:$R$46)),"-",LOOKUP(E39,WKNrListe,Übersicht!$R$7:$R$46))</f>
        <v>-</v>
      </c>
      <c r="AL39" s="299" t="str">
        <f t="shared" si="2"/>
        <v>-</v>
      </c>
      <c r="AM39" s="303"/>
    </row>
    <row r="40" spans="1:40" s="174" customFormat="1" ht="15" customHeight="1">
      <c r="A40" s="63"/>
      <c r="B40" s="63"/>
      <c r="C40" s="84"/>
      <c r="D40" s="85"/>
      <c r="E40" s="62"/>
      <c r="F40" s="62"/>
      <c r="G40" s="62"/>
      <c r="H40" s="62"/>
      <c r="I40" s="62"/>
      <c r="J40" s="62"/>
      <c r="K40" s="62"/>
      <c r="L40" s="62"/>
      <c r="M40" s="62"/>
      <c r="N40" s="62"/>
      <c r="O40" s="62"/>
      <c r="P40" s="62"/>
      <c r="Q40" s="62"/>
      <c r="R40" s="62"/>
      <c r="S40" s="258"/>
      <c r="T40" s="248" t="str">
        <f t="shared" si="3"/>
        <v/>
      </c>
      <c r="U40" s="249" t="str">
        <f t="shared" si="4"/>
        <v/>
      </c>
      <c r="V40" s="294" t="str">
        <f t="shared" si="1"/>
        <v/>
      </c>
      <c r="W40" s="294" t="str">
        <f>IF(((E40="")+(F40="")),"",IF(VLOOKUP(F40,Mannschaften!$A$1:$B$54,2,FALSE)&lt;&gt;E40,"Reiter Mannschaften füllen",""))</f>
        <v/>
      </c>
      <c r="X40" s="248" t="str">
        <f>IF(ISBLANK(C40),"",IF((U40&gt;(LOOKUP(E40,WKNrListe,Übersicht!$O$7:$O$46)))+(U40&lt;(LOOKUP(E40,WKNrListe,Übersicht!$P$7:$P$46))),"JG falsch",""))</f>
        <v/>
      </c>
      <c r="Y40" s="255" t="str">
        <f>IF((A40="")*(B40=""),"",IF(ISERROR(MATCH(E40,WKNrListe,0)),"WK falsch",LOOKUP(E40,WKNrListe,Übersicht!$B$7:$B$46)))</f>
        <v/>
      </c>
      <c r="Z40" s="269" t="str">
        <f>IF(((AJ40=0)*(AH40&lt;&gt;"")*(AK40="-"))+((AJ40&lt;&gt;0)*(AH40&lt;&gt;"")*(AK40="-")),IF(AG40="X",Übersicht!$C$70,Übersicht!$C$69),"-")</f>
        <v>-</v>
      </c>
      <c r="AA40" s="252" t="str">
        <f>IF((($A40="")*($B40=""))+((MID($Y40,1,4)&lt;&gt;"Wahl")*(Deckblatt!$C$14='WK-Vorlagen'!$C$82))+(Deckblatt!$C$14&lt;&gt;'WK-Vorlagen'!$C$82),"",IF(ISERROR(MATCH(VALUE(MID(G40,1,2)),Schwierigkeitsstufen!$G$7:$G$19,0)),"Gerät falsch",LOOKUP(VALUE(MID(G40,1,2)),Schwierigkeitsstufen!$G$7:$G$19,Schwierigkeitsstufen!$H$7:$H$19)))</f>
        <v/>
      </c>
      <c r="AB40" s="250" t="str">
        <f>IF((($A40="")*($B40=""))+((MID($Y40,1,4)&lt;&gt;"Wahl")*(Deckblatt!$C$14='WK-Vorlagen'!$C$82))+(Deckblatt!$C$14&lt;&gt;'WK-Vorlagen'!$C$82),"",IF(ISERROR(MATCH(VALUE(MID(H40,1,2)),Schwierigkeitsstufen!$G$7:$G$19,0)),"Gerät falsch",LOOKUP(VALUE(MID(H40,1,2)),Schwierigkeitsstufen!$G$7:$G$19,Schwierigkeitsstufen!$H$7:$H$19)))</f>
        <v/>
      </c>
      <c r="AC40" s="250" t="str">
        <f>IF((($A40="")*($B40=""))+((MID($Y40,1,4)&lt;&gt;"Wahl")*(Deckblatt!$C$14='WK-Vorlagen'!$C$82))+(Deckblatt!$C$14&lt;&gt;'WK-Vorlagen'!$C$82),"",IF(ISERROR(MATCH(VALUE(MID(I40,1,2)),Schwierigkeitsstufen!$G$7:$G$19,0)),"Gerät falsch",LOOKUP(VALUE(MID(I40,1,2)),Schwierigkeitsstufen!$G$7:$G$19,Schwierigkeitsstufen!$H$7:$H$19)))</f>
        <v/>
      </c>
      <c r="AD40" s="251" t="str">
        <f>IF((($A40="")*($B40=""))+((MID($Y40,1,4)&lt;&gt;"Wahl")*(Deckblatt!$C$14='WK-Vorlagen'!$C$82))+(Deckblatt!$C$14&lt;&gt;'WK-Vorlagen'!$C$82),"",IF(ISERROR(MATCH(VALUE(MID(J40,1,2)),Schwierigkeitsstufen!$G$7:$G$19,0)),"Gerät falsch",LOOKUP(VALUE(MID(J40,1,2)),Schwierigkeitsstufen!$G$7:$G$19,Schwierigkeitsstufen!$H$7:$H$19)))</f>
        <v/>
      </c>
      <c r="AE40" s="211"/>
      <c r="AF40" s="174" t="s">
        <v>607</v>
      </c>
      <c r="AG40" s="221" t="str">
        <f t="shared" si="0"/>
        <v/>
      </c>
      <c r="AH40" s="222" t="str">
        <f t="shared" si="5"/>
        <v/>
      </c>
      <c r="AI40" s="220">
        <f t="shared" si="6"/>
        <v>4</v>
      </c>
      <c r="AJ40" s="222">
        <f t="shared" si="7"/>
        <v>0</v>
      </c>
      <c r="AK40" s="299" t="str">
        <f>IF(ISERROR(LOOKUP(E40,WKNrListe,Übersicht!$R$7:$R$46)),"-",LOOKUP(E40,WKNrListe,Übersicht!$R$7:$R$46))</f>
        <v>-</v>
      </c>
      <c r="AL40" s="299" t="str">
        <f t="shared" si="2"/>
        <v>-</v>
      </c>
      <c r="AM40" s="303"/>
    </row>
    <row r="41" spans="1:40" s="174" customFormat="1" ht="15" customHeight="1">
      <c r="A41" s="63"/>
      <c r="B41" s="63"/>
      <c r="C41" s="84"/>
      <c r="D41" s="85"/>
      <c r="E41" s="62"/>
      <c r="F41" s="62"/>
      <c r="G41" s="62"/>
      <c r="H41" s="62"/>
      <c r="I41" s="62"/>
      <c r="J41" s="62"/>
      <c r="K41" s="62"/>
      <c r="L41" s="62"/>
      <c r="M41" s="62"/>
      <c r="N41" s="62"/>
      <c r="O41" s="62"/>
      <c r="P41" s="62"/>
      <c r="Q41" s="62"/>
      <c r="R41" s="62"/>
      <c r="S41" s="258"/>
      <c r="T41" s="248" t="str">
        <f t="shared" si="3"/>
        <v/>
      </c>
      <c r="U41" s="249" t="str">
        <f t="shared" si="4"/>
        <v/>
      </c>
      <c r="V41" s="294" t="str">
        <f t="shared" si="1"/>
        <v/>
      </c>
      <c r="W41" s="294" t="str">
        <f>IF(((E41="")+(F41="")),"",IF(VLOOKUP(F41,Mannschaften!$A$1:$B$54,2,FALSE)&lt;&gt;E41,"Reiter Mannschaften füllen",""))</f>
        <v/>
      </c>
      <c r="X41" s="248" t="str">
        <f>IF(ISBLANK(C41),"",IF((U41&gt;(LOOKUP(E41,WKNrListe,Übersicht!$O$7:$O$46)))+(U41&lt;(LOOKUP(E41,WKNrListe,Übersicht!$P$7:$P$46))),"JG falsch",""))</f>
        <v/>
      </c>
      <c r="Y41" s="255" t="str">
        <f>IF((A41="")*(B41=""),"",IF(ISERROR(MATCH(E41,WKNrListe,0)),"WK falsch",LOOKUP(E41,WKNrListe,Übersicht!$B$7:$B$46)))</f>
        <v/>
      </c>
      <c r="Z41" s="269" t="str">
        <f>IF(((AJ41=0)*(AH41&lt;&gt;"")*(AK41="-"))+((AJ41&lt;&gt;0)*(AH41&lt;&gt;"")*(AK41="-")),IF(AG41="X",Übersicht!$C$70,Übersicht!$C$69),"-")</f>
        <v>-</v>
      </c>
      <c r="AA41" s="252" t="str">
        <f>IF((($A41="")*($B41=""))+((MID($Y41,1,4)&lt;&gt;"Wahl")*(Deckblatt!$C$14='WK-Vorlagen'!$C$82))+(Deckblatt!$C$14&lt;&gt;'WK-Vorlagen'!$C$82),"",IF(ISERROR(MATCH(VALUE(MID(G41,1,2)),Schwierigkeitsstufen!$G$7:$G$19,0)),"Gerät falsch",LOOKUP(VALUE(MID(G41,1,2)),Schwierigkeitsstufen!$G$7:$G$19,Schwierigkeitsstufen!$H$7:$H$19)))</f>
        <v/>
      </c>
      <c r="AB41" s="250" t="str">
        <f>IF((($A41="")*($B41=""))+((MID($Y41,1,4)&lt;&gt;"Wahl")*(Deckblatt!$C$14='WK-Vorlagen'!$C$82))+(Deckblatt!$C$14&lt;&gt;'WK-Vorlagen'!$C$82),"",IF(ISERROR(MATCH(VALUE(MID(H41,1,2)),Schwierigkeitsstufen!$G$7:$G$19,0)),"Gerät falsch",LOOKUP(VALUE(MID(H41,1,2)),Schwierigkeitsstufen!$G$7:$G$19,Schwierigkeitsstufen!$H$7:$H$19)))</f>
        <v/>
      </c>
      <c r="AC41" s="250" t="str">
        <f>IF((($A41="")*($B41=""))+((MID($Y41,1,4)&lt;&gt;"Wahl")*(Deckblatt!$C$14='WK-Vorlagen'!$C$82))+(Deckblatt!$C$14&lt;&gt;'WK-Vorlagen'!$C$82),"",IF(ISERROR(MATCH(VALUE(MID(I41,1,2)),Schwierigkeitsstufen!$G$7:$G$19,0)),"Gerät falsch",LOOKUP(VALUE(MID(I41,1,2)),Schwierigkeitsstufen!$G$7:$G$19,Schwierigkeitsstufen!$H$7:$H$19)))</f>
        <v/>
      </c>
      <c r="AD41" s="251" t="str">
        <f>IF((($A41="")*($B41=""))+((MID($Y41,1,4)&lt;&gt;"Wahl")*(Deckblatt!$C$14='WK-Vorlagen'!$C$82))+(Deckblatt!$C$14&lt;&gt;'WK-Vorlagen'!$C$82),"",IF(ISERROR(MATCH(VALUE(MID(J41,1,2)),Schwierigkeitsstufen!$G$7:$G$19,0)),"Gerät falsch",LOOKUP(VALUE(MID(J41,1,2)),Schwierigkeitsstufen!$G$7:$G$19,Schwierigkeitsstufen!$H$7:$H$19)))</f>
        <v/>
      </c>
      <c r="AE41" s="211"/>
      <c r="AG41" s="221" t="str">
        <f t="shared" si="0"/>
        <v/>
      </c>
      <c r="AH41" s="222" t="str">
        <f t="shared" si="5"/>
        <v/>
      </c>
      <c r="AI41" s="220">
        <f t="shared" si="6"/>
        <v>4</v>
      </c>
      <c r="AJ41" s="222">
        <f t="shared" si="7"/>
        <v>0</v>
      </c>
      <c r="AK41" s="299" t="str">
        <f>IF(ISERROR(LOOKUP(E41,WKNrListe,Übersicht!$R$7:$R$46)),"-",LOOKUP(E41,WKNrListe,Übersicht!$R$7:$R$46))</f>
        <v>-</v>
      </c>
      <c r="AL41" s="299" t="str">
        <f t="shared" si="2"/>
        <v>-</v>
      </c>
      <c r="AM41" s="303"/>
    </row>
    <row r="42" spans="1:40" s="174" customFormat="1" ht="15" customHeight="1">
      <c r="A42" s="63"/>
      <c r="B42" s="63"/>
      <c r="C42" s="84"/>
      <c r="D42" s="85"/>
      <c r="E42" s="62"/>
      <c r="F42" s="62"/>
      <c r="G42" s="62"/>
      <c r="H42" s="62"/>
      <c r="I42" s="62"/>
      <c r="J42" s="62"/>
      <c r="K42" s="62"/>
      <c r="L42" s="62"/>
      <c r="M42" s="62"/>
      <c r="N42" s="62"/>
      <c r="O42" s="62"/>
      <c r="P42" s="62"/>
      <c r="Q42" s="62"/>
      <c r="R42" s="62"/>
      <c r="S42" s="258"/>
      <c r="T42" s="248" t="str">
        <f t="shared" si="3"/>
        <v/>
      </c>
      <c r="U42" s="249" t="str">
        <f t="shared" si="4"/>
        <v/>
      </c>
      <c r="V42" s="294" t="str">
        <f t="shared" si="1"/>
        <v/>
      </c>
      <c r="W42" s="294" t="str">
        <f>IF(((E42="")+(F42="")),"",IF(VLOOKUP(F42,Mannschaften!$A$1:$B$54,2,FALSE)&lt;&gt;E42,"Reiter Mannschaften füllen",""))</f>
        <v/>
      </c>
      <c r="X42" s="248" t="str">
        <f>IF(ISBLANK(C42),"",IF((U42&gt;(LOOKUP(E42,WKNrListe,Übersicht!$O$7:$O$46)))+(U42&lt;(LOOKUP(E42,WKNrListe,Übersicht!$P$7:$P$46))),"JG falsch",""))</f>
        <v/>
      </c>
      <c r="Y42" s="255" t="str">
        <f>IF((A42="")*(B42=""),"",IF(ISERROR(MATCH(E42,WKNrListe,0)),"WK falsch",LOOKUP(E42,WKNrListe,Übersicht!$B$7:$B$46)))</f>
        <v/>
      </c>
      <c r="Z42" s="269" t="str">
        <f>IF(((AJ42=0)*(AH42&lt;&gt;"")*(AK42="-"))+((AJ42&lt;&gt;0)*(AH42&lt;&gt;"")*(AK42="-")),IF(AG42="X",Übersicht!$C$70,Übersicht!$C$69),"-")</f>
        <v>-</v>
      </c>
      <c r="AA42" s="252" t="str">
        <f>IF((($A42="")*($B42=""))+((MID($Y42,1,4)&lt;&gt;"Wahl")*(Deckblatt!$C$14='WK-Vorlagen'!$C$82))+(Deckblatt!$C$14&lt;&gt;'WK-Vorlagen'!$C$82),"",IF(ISERROR(MATCH(VALUE(MID(G42,1,2)),Schwierigkeitsstufen!$G$7:$G$19,0)),"Gerät falsch",LOOKUP(VALUE(MID(G42,1,2)),Schwierigkeitsstufen!$G$7:$G$19,Schwierigkeitsstufen!$H$7:$H$19)))</f>
        <v/>
      </c>
      <c r="AB42" s="250" t="str">
        <f>IF((($A42="")*($B42=""))+((MID($Y42,1,4)&lt;&gt;"Wahl")*(Deckblatt!$C$14='WK-Vorlagen'!$C$82))+(Deckblatt!$C$14&lt;&gt;'WK-Vorlagen'!$C$82),"",IF(ISERROR(MATCH(VALUE(MID(H42,1,2)),Schwierigkeitsstufen!$G$7:$G$19,0)),"Gerät falsch",LOOKUP(VALUE(MID(H42,1,2)),Schwierigkeitsstufen!$G$7:$G$19,Schwierigkeitsstufen!$H$7:$H$19)))</f>
        <v/>
      </c>
      <c r="AC42" s="250" t="str">
        <f>IF((($A42="")*($B42=""))+((MID($Y42,1,4)&lt;&gt;"Wahl")*(Deckblatt!$C$14='WK-Vorlagen'!$C$82))+(Deckblatt!$C$14&lt;&gt;'WK-Vorlagen'!$C$82),"",IF(ISERROR(MATCH(VALUE(MID(I42,1,2)),Schwierigkeitsstufen!$G$7:$G$19,0)),"Gerät falsch",LOOKUP(VALUE(MID(I42,1,2)),Schwierigkeitsstufen!$G$7:$G$19,Schwierigkeitsstufen!$H$7:$H$19)))</f>
        <v/>
      </c>
      <c r="AD42" s="251" t="str">
        <f>IF((($A42="")*($B42=""))+((MID($Y42,1,4)&lt;&gt;"Wahl")*(Deckblatt!$C$14='WK-Vorlagen'!$C$82))+(Deckblatt!$C$14&lt;&gt;'WK-Vorlagen'!$C$82),"",IF(ISERROR(MATCH(VALUE(MID(J42,1,2)),Schwierigkeitsstufen!$G$7:$G$19,0)),"Gerät falsch",LOOKUP(VALUE(MID(J42,1,2)),Schwierigkeitsstufen!$G$7:$G$19,Schwierigkeitsstufen!$H$7:$H$19)))</f>
        <v/>
      </c>
      <c r="AE42" s="211"/>
      <c r="AF42" s="195" t="s">
        <v>526</v>
      </c>
      <c r="AG42" s="221" t="str">
        <f t="shared" si="0"/>
        <v/>
      </c>
      <c r="AH42" s="222" t="str">
        <f t="shared" si="5"/>
        <v/>
      </c>
      <c r="AI42" s="220">
        <f t="shared" si="6"/>
        <v>4</v>
      </c>
      <c r="AJ42" s="222">
        <f t="shared" si="7"/>
        <v>0</v>
      </c>
      <c r="AK42" s="299" t="str">
        <f>IF(ISERROR(LOOKUP(E42,WKNrListe,Übersicht!$R$7:$R$46)),"-",LOOKUP(E42,WKNrListe,Übersicht!$R$7:$R$46))</f>
        <v>-</v>
      </c>
      <c r="AL42" s="299" t="str">
        <f t="shared" si="2"/>
        <v>-</v>
      </c>
      <c r="AM42" s="303"/>
    </row>
    <row r="43" spans="1:40" s="174" customFormat="1" ht="15" customHeight="1">
      <c r="A43" s="63"/>
      <c r="B43" s="63"/>
      <c r="C43" s="84"/>
      <c r="D43" s="85"/>
      <c r="E43" s="62"/>
      <c r="F43" s="62"/>
      <c r="G43" s="62"/>
      <c r="H43" s="62"/>
      <c r="I43" s="62"/>
      <c r="J43" s="62"/>
      <c r="K43" s="62"/>
      <c r="L43" s="62"/>
      <c r="M43" s="62"/>
      <c r="N43" s="62"/>
      <c r="O43" s="62"/>
      <c r="P43" s="62"/>
      <c r="Q43" s="62"/>
      <c r="R43" s="62"/>
      <c r="S43" s="258"/>
      <c r="T43" s="248" t="str">
        <f t="shared" si="3"/>
        <v/>
      </c>
      <c r="U43" s="249" t="str">
        <f t="shared" si="4"/>
        <v/>
      </c>
      <c r="V43" s="294" t="str">
        <f t="shared" si="1"/>
        <v/>
      </c>
      <c r="W43" s="294" t="str">
        <f>IF(((E43="")+(F43="")),"",IF(VLOOKUP(F43,Mannschaften!$A$1:$B$54,2,FALSE)&lt;&gt;E43,"Reiter Mannschaften füllen",""))</f>
        <v/>
      </c>
      <c r="X43" s="248" t="str">
        <f>IF(ISBLANK(C43),"",IF((U43&gt;(LOOKUP(E43,WKNrListe,Übersicht!$O$7:$O$46)))+(U43&lt;(LOOKUP(E43,WKNrListe,Übersicht!$P$7:$P$46))),"JG falsch",""))</f>
        <v/>
      </c>
      <c r="Y43" s="255" t="str">
        <f>IF((A43="")*(B43=""),"",IF(ISERROR(MATCH(E43,WKNrListe,0)),"WK falsch",LOOKUP(E43,WKNrListe,Übersicht!$B$7:$B$46)))</f>
        <v/>
      </c>
      <c r="Z43" s="269" t="str">
        <f>IF(((AJ43=0)*(AH43&lt;&gt;"")*(AK43="-"))+((AJ43&lt;&gt;0)*(AH43&lt;&gt;"")*(AK43="-")),IF(AG43="X",Übersicht!$C$70,Übersicht!$C$69),"-")</f>
        <v>-</v>
      </c>
      <c r="AA43" s="252" t="str">
        <f>IF((($A43="")*($B43=""))+((MID($Y43,1,4)&lt;&gt;"Wahl")*(Deckblatt!$C$14='WK-Vorlagen'!$C$82))+(Deckblatt!$C$14&lt;&gt;'WK-Vorlagen'!$C$82),"",IF(ISERROR(MATCH(VALUE(MID(G43,1,2)),Schwierigkeitsstufen!$G$7:$G$19,0)),"Gerät falsch",LOOKUP(VALUE(MID(G43,1,2)),Schwierigkeitsstufen!$G$7:$G$19,Schwierigkeitsstufen!$H$7:$H$19)))</f>
        <v/>
      </c>
      <c r="AB43" s="250" t="str">
        <f>IF((($A43="")*($B43=""))+((MID($Y43,1,4)&lt;&gt;"Wahl")*(Deckblatt!$C$14='WK-Vorlagen'!$C$82))+(Deckblatt!$C$14&lt;&gt;'WK-Vorlagen'!$C$82),"",IF(ISERROR(MATCH(VALUE(MID(H43,1,2)),Schwierigkeitsstufen!$G$7:$G$19,0)),"Gerät falsch",LOOKUP(VALUE(MID(H43,1,2)),Schwierigkeitsstufen!$G$7:$G$19,Schwierigkeitsstufen!$H$7:$H$19)))</f>
        <v/>
      </c>
      <c r="AC43" s="250" t="str">
        <f>IF((($A43="")*($B43=""))+((MID($Y43,1,4)&lt;&gt;"Wahl")*(Deckblatt!$C$14='WK-Vorlagen'!$C$82))+(Deckblatt!$C$14&lt;&gt;'WK-Vorlagen'!$C$82),"",IF(ISERROR(MATCH(VALUE(MID(I43,1,2)),Schwierigkeitsstufen!$G$7:$G$19,0)),"Gerät falsch",LOOKUP(VALUE(MID(I43,1,2)),Schwierigkeitsstufen!$G$7:$G$19,Schwierigkeitsstufen!$H$7:$H$19)))</f>
        <v/>
      </c>
      <c r="AD43" s="251" t="str">
        <f>IF((($A43="")*($B43=""))+((MID($Y43,1,4)&lt;&gt;"Wahl")*(Deckblatt!$C$14='WK-Vorlagen'!$C$82))+(Deckblatt!$C$14&lt;&gt;'WK-Vorlagen'!$C$82),"",IF(ISERROR(MATCH(VALUE(MID(J43,1,2)),Schwierigkeitsstufen!$G$7:$G$19,0)),"Gerät falsch",LOOKUP(VALUE(MID(J43,1,2)),Schwierigkeitsstufen!$G$7:$G$19,Schwierigkeitsstufen!$H$7:$H$19)))</f>
        <v/>
      </c>
      <c r="AE43" s="211"/>
      <c r="AF43" s="195" t="s">
        <v>525</v>
      </c>
      <c r="AG43" s="221" t="str">
        <f t="shared" si="0"/>
        <v/>
      </c>
      <c r="AH43" s="222" t="str">
        <f t="shared" si="5"/>
        <v/>
      </c>
      <c r="AI43" s="220">
        <f t="shared" si="6"/>
        <v>4</v>
      </c>
      <c r="AJ43" s="222">
        <f t="shared" si="7"/>
        <v>0</v>
      </c>
      <c r="AK43" s="299" t="str">
        <f>IF(ISERROR(LOOKUP(E43,WKNrListe,Übersicht!$R$7:$R$46)),"-",LOOKUP(E43,WKNrListe,Übersicht!$R$7:$R$46))</f>
        <v>-</v>
      </c>
      <c r="AL43" s="299" t="str">
        <f t="shared" si="2"/>
        <v>-</v>
      </c>
      <c r="AM43" s="303"/>
    </row>
    <row r="44" spans="1:40" s="174" customFormat="1" ht="15" customHeight="1">
      <c r="A44" s="63"/>
      <c r="B44" s="63"/>
      <c r="C44" s="84"/>
      <c r="D44" s="85"/>
      <c r="E44" s="62"/>
      <c r="F44" s="62"/>
      <c r="G44" s="62"/>
      <c r="H44" s="62"/>
      <c r="I44" s="62"/>
      <c r="J44" s="62"/>
      <c r="K44" s="62"/>
      <c r="L44" s="62"/>
      <c r="M44" s="62"/>
      <c r="N44" s="62"/>
      <c r="O44" s="62"/>
      <c r="P44" s="62"/>
      <c r="Q44" s="62"/>
      <c r="R44" s="62"/>
      <c r="S44" s="258"/>
      <c r="T44" s="248" t="str">
        <f t="shared" si="3"/>
        <v/>
      </c>
      <c r="U44" s="249" t="str">
        <f t="shared" si="4"/>
        <v/>
      </c>
      <c r="V44" s="294" t="str">
        <f t="shared" si="1"/>
        <v/>
      </c>
      <c r="W44" s="294" t="str">
        <f>IF(((E44="")+(F44="")),"",IF(VLOOKUP(F44,Mannschaften!$A$1:$B$54,2,FALSE)&lt;&gt;E44,"Reiter Mannschaften füllen",""))</f>
        <v/>
      </c>
      <c r="X44" s="248" t="str">
        <f>IF(ISBLANK(C44),"",IF((U44&gt;(LOOKUP(E44,WKNrListe,Übersicht!$O$7:$O$46)))+(U44&lt;(LOOKUP(E44,WKNrListe,Übersicht!$P$7:$P$46))),"JG falsch",""))</f>
        <v/>
      </c>
      <c r="Y44" s="255" t="str">
        <f>IF((A44="")*(B44=""),"",IF(ISERROR(MATCH(E44,WKNrListe,0)),"WK falsch",LOOKUP(E44,WKNrListe,Übersicht!$B$7:$B$46)))</f>
        <v/>
      </c>
      <c r="Z44" s="269" t="str">
        <f>IF(((AJ44=0)*(AH44&lt;&gt;"")*(AK44="-"))+((AJ44&lt;&gt;0)*(AH44&lt;&gt;"")*(AK44="-")),IF(AG44="X",Übersicht!$C$70,Übersicht!$C$69),"-")</f>
        <v>-</v>
      </c>
      <c r="AA44" s="252" t="str">
        <f>IF((($A44="")*($B44=""))+((MID($Y44,1,4)&lt;&gt;"Wahl")*(Deckblatt!$C$14='WK-Vorlagen'!$C$82))+(Deckblatt!$C$14&lt;&gt;'WK-Vorlagen'!$C$82),"",IF(ISERROR(MATCH(VALUE(MID(G44,1,2)),Schwierigkeitsstufen!$G$7:$G$19,0)),"Gerät falsch",LOOKUP(VALUE(MID(G44,1,2)),Schwierigkeitsstufen!$G$7:$G$19,Schwierigkeitsstufen!$H$7:$H$19)))</f>
        <v/>
      </c>
      <c r="AB44" s="250" t="str">
        <f>IF((($A44="")*($B44=""))+((MID($Y44,1,4)&lt;&gt;"Wahl")*(Deckblatt!$C$14='WK-Vorlagen'!$C$82))+(Deckblatt!$C$14&lt;&gt;'WK-Vorlagen'!$C$82),"",IF(ISERROR(MATCH(VALUE(MID(H44,1,2)),Schwierigkeitsstufen!$G$7:$G$19,0)),"Gerät falsch",LOOKUP(VALUE(MID(H44,1,2)),Schwierigkeitsstufen!$G$7:$G$19,Schwierigkeitsstufen!$H$7:$H$19)))</f>
        <v/>
      </c>
      <c r="AC44" s="250" t="str">
        <f>IF((($A44="")*($B44=""))+((MID($Y44,1,4)&lt;&gt;"Wahl")*(Deckblatt!$C$14='WK-Vorlagen'!$C$82))+(Deckblatt!$C$14&lt;&gt;'WK-Vorlagen'!$C$82),"",IF(ISERROR(MATCH(VALUE(MID(I44,1,2)),Schwierigkeitsstufen!$G$7:$G$19,0)),"Gerät falsch",LOOKUP(VALUE(MID(I44,1,2)),Schwierigkeitsstufen!$G$7:$G$19,Schwierigkeitsstufen!$H$7:$H$19)))</f>
        <v/>
      </c>
      <c r="AD44" s="251" t="str">
        <f>IF((($A44="")*($B44=""))+((MID($Y44,1,4)&lt;&gt;"Wahl")*(Deckblatt!$C$14='WK-Vorlagen'!$C$82))+(Deckblatt!$C$14&lt;&gt;'WK-Vorlagen'!$C$82),"",IF(ISERROR(MATCH(VALUE(MID(J44,1,2)),Schwierigkeitsstufen!$G$7:$G$19,0)),"Gerät falsch",LOOKUP(VALUE(MID(J44,1,2)),Schwierigkeitsstufen!$G$7:$G$19,Schwierigkeitsstufen!$H$7:$H$19)))</f>
        <v/>
      </c>
      <c r="AE44" s="211"/>
      <c r="AG44" s="221" t="str">
        <f t="shared" si="0"/>
        <v/>
      </c>
      <c r="AH44" s="222" t="str">
        <f t="shared" si="5"/>
        <v/>
      </c>
      <c r="AI44" s="220">
        <f t="shared" si="6"/>
        <v>4</v>
      </c>
      <c r="AJ44" s="222">
        <f t="shared" si="7"/>
        <v>0</v>
      </c>
      <c r="AK44" s="299" t="str">
        <f>IF(ISERROR(LOOKUP(E44,WKNrListe,Übersicht!$R$7:$R$46)),"-",LOOKUP(E44,WKNrListe,Übersicht!$R$7:$R$46))</f>
        <v>-</v>
      </c>
      <c r="AL44" s="299" t="str">
        <f t="shared" si="2"/>
        <v>-</v>
      </c>
      <c r="AM44" s="303"/>
    </row>
    <row r="45" spans="1:40" s="174" customFormat="1" ht="15" customHeight="1">
      <c r="A45" s="65"/>
      <c r="B45" s="65"/>
      <c r="C45" s="142"/>
      <c r="D45" s="143"/>
      <c r="E45" s="64"/>
      <c r="F45" s="64"/>
      <c r="G45" s="64"/>
      <c r="H45" s="64"/>
      <c r="I45" s="64"/>
      <c r="J45" s="64"/>
      <c r="K45" s="64"/>
      <c r="L45" s="64"/>
      <c r="M45" s="64"/>
      <c r="N45" s="64"/>
      <c r="O45" s="64"/>
      <c r="P45" s="64"/>
      <c r="Q45" s="64"/>
      <c r="R45" s="64"/>
      <c r="S45" s="261"/>
      <c r="T45" s="262" t="str">
        <f t="shared" si="3"/>
        <v/>
      </c>
      <c r="U45" s="263" t="str">
        <f t="shared" si="4"/>
        <v/>
      </c>
      <c r="V45" s="295" t="str">
        <f t="shared" si="1"/>
        <v/>
      </c>
      <c r="W45" s="295" t="str">
        <f>IF(((E45="")+(F45="")),"",IF(VLOOKUP(F45,Mannschaften!$A$1:$B$54,2,FALSE)&lt;&gt;E45,"Reiter Mannschaften füllen",""))</f>
        <v/>
      </c>
      <c r="X45" s="262" t="str">
        <f>IF(ISBLANK(C45),"",IF((U45&gt;(LOOKUP(E45,WKNrListe,Übersicht!$O$7:$O$46)))+(U45&lt;(LOOKUP(E45,WKNrListe,Übersicht!$P$7:$P$46))),"JG falsch",""))</f>
        <v/>
      </c>
      <c r="Y45" s="267" t="str">
        <f>IF((A45="")*(B45=""),"",IF(ISERROR(MATCH(E45,WKNrListe,0)),"WK falsch",LOOKUP(E45,WKNrListe,Übersicht!$B$7:$B$46)))</f>
        <v/>
      </c>
      <c r="Z45" s="270" t="str">
        <f>IF(((AJ45=0)*(AH45&lt;&gt;"")*(AK45="-"))+((AJ45&lt;&gt;0)*(AH45&lt;&gt;"")*(AK45="-")),IF(AG45="X",Übersicht!$C$70,Übersicht!$C$69),"-")</f>
        <v>-</v>
      </c>
      <c r="AA45" s="264" t="str">
        <f>IF((($A45="")*($B45=""))+((MID($Y45,1,4)&lt;&gt;"Wahl")*(Deckblatt!$C$14='WK-Vorlagen'!$C$82))+(Deckblatt!$C$14&lt;&gt;'WK-Vorlagen'!$C$82),"",IF(ISERROR(MATCH(VALUE(MID(G45,1,2)),Schwierigkeitsstufen!$G$7:$G$19,0)),"Gerät falsch",LOOKUP(VALUE(MID(G45,1,2)),Schwierigkeitsstufen!$G$7:$G$19,Schwierigkeitsstufen!$H$7:$H$19)))</f>
        <v/>
      </c>
      <c r="AB45" s="265" t="str">
        <f>IF((($A45="")*($B45=""))+((MID($Y45,1,4)&lt;&gt;"Wahl")*(Deckblatt!$C$14='WK-Vorlagen'!$C$82))+(Deckblatt!$C$14&lt;&gt;'WK-Vorlagen'!$C$82),"",IF(ISERROR(MATCH(VALUE(MID(H45,1,2)),Schwierigkeitsstufen!$G$7:$G$19,0)),"Gerät falsch",LOOKUP(VALUE(MID(H45,1,2)),Schwierigkeitsstufen!$G$7:$G$19,Schwierigkeitsstufen!$H$7:$H$19)))</f>
        <v/>
      </c>
      <c r="AC45" s="265" t="str">
        <f>IF((($A45="")*($B45=""))+((MID($Y45,1,4)&lt;&gt;"Wahl")*(Deckblatt!$C$14='WK-Vorlagen'!$C$82))+(Deckblatt!$C$14&lt;&gt;'WK-Vorlagen'!$C$82),"",IF(ISERROR(MATCH(VALUE(MID(I45,1,2)),Schwierigkeitsstufen!$G$7:$G$19,0)),"Gerät falsch",LOOKUP(VALUE(MID(I45,1,2)),Schwierigkeitsstufen!$G$7:$G$19,Schwierigkeitsstufen!$H$7:$H$19)))</f>
        <v/>
      </c>
      <c r="AD45" s="266" t="str">
        <f>IF((($A45="")*($B45=""))+((MID($Y45,1,4)&lt;&gt;"Wahl")*(Deckblatt!$C$14='WK-Vorlagen'!$C$82))+(Deckblatt!$C$14&lt;&gt;'WK-Vorlagen'!$C$82),"",IF(ISERROR(MATCH(VALUE(MID(J45,1,2)),Schwierigkeitsstufen!$G$7:$G$19,0)),"Gerät falsch",LOOKUP(VALUE(MID(J45,1,2)),Schwierigkeitsstufen!$G$7:$G$19,Schwierigkeitsstufen!$H$7:$H$19)))</f>
        <v/>
      </c>
      <c r="AE45" s="211"/>
      <c r="AF45" s="236" t="str">
        <f>IF(COUNTIF(AN46:AN999,"Voll")&gt;0,"Es wird nur bis Zeile 45 gedruckt; bei mehr TLN Druckbereich vergrößern !","")</f>
        <v/>
      </c>
      <c r="AG45" s="221" t="str">
        <f t="shared" si="0"/>
        <v/>
      </c>
      <c r="AH45" s="222" t="str">
        <f t="shared" si="5"/>
        <v/>
      </c>
      <c r="AI45" s="220">
        <f t="shared" si="6"/>
        <v>4</v>
      </c>
      <c r="AJ45" s="222">
        <f t="shared" si="7"/>
        <v>0</v>
      </c>
      <c r="AK45" s="299" t="str">
        <f>IF(ISERROR(LOOKUP(E45,WKNrListe,Übersicht!$R$7:$R$46)),"-",LOOKUP(E45,WKNrListe,Übersicht!$R$7:$R$46))</f>
        <v>-</v>
      </c>
      <c r="AL45" s="299" t="str">
        <f t="shared" si="2"/>
        <v>-</v>
      </c>
      <c r="AM45" s="303"/>
    </row>
    <row r="46" spans="1:40" s="174" customFormat="1" ht="15" customHeight="1">
      <c r="A46" s="61"/>
      <c r="B46" s="61"/>
      <c r="C46" s="313"/>
      <c r="D46" s="83"/>
      <c r="E46" s="60"/>
      <c r="F46" s="60"/>
      <c r="G46" s="60"/>
      <c r="H46" s="60"/>
      <c r="I46" s="60"/>
      <c r="J46" s="60"/>
      <c r="K46" s="60"/>
      <c r="L46" s="60"/>
      <c r="M46" s="60"/>
      <c r="N46" s="60"/>
      <c r="O46" s="60"/>
      <c r="P46" s="60"/>
      <c r="Q46" s="60"/>
      <c r="R46" s="60"/>
      <c r="S46" s="314"/>
      <c r="T46" s="315" t="str">
        <f t="shared" si="3"/>
        <v/>
      </c>
      <c r="U46" s="316" t="str">
        <f t="shared" si="4"/>
        <v/>
      </c>
      <c r="V46" s="317" t="str">
        <f t="shared" si="1"/>
        <v/>
      </c>
      <c r="W46" s="317" t="str">
        <f>IF(((E46="")+(F46="")),"",IF(VLOOKUP(F46,Mannschaften!$A$1:$B$54,2,FALSE)&lt;&gt;E46,"Reiter Mannschaften füllen",""))</f>
        <v/>
      </c>
      <c r="X46" s="315" t="str">
        <f>IF(ISBLANK(C46),"",IF((U46&gt;(LOOKUP(E46,WKNrListe,Übersicht!$O$7:$O$46)))+(U46&lt;(LOOKUP(E46,WKNrListe,Übersicht!$P$7:$P$46))),"JG falsch",""))</f>
        <v/>
      </c>
      <c r="Y46" s="318" t="str">
        <f>IF((A46="")*(B46=""),"",IF(ISERROR(MATCH(E46,WKNrListe,0)),"WK falsch",LOOKUP(E46,WKNrListe,Übersicht!$B$7:$B$46)))</f>
        <v/>
      </c>
      <c r="Z46" s="319" t="str">
        <f>IF(((AJ46=0)*(AH46&lt;&gt;"")*(AK46="-"))+((AJ46&lt;&gt;0)*(AH46&lt;&gt;"")*(AK46="-")),IF(AG46="X",Übersicht!$C$70,Übersicht!$C$69),"-")</f>
        <v>-</v>
      </c>
      <c r="AA46" s="320" t="str">
        <f>IF((($A46="")*($B46=""))+((MID($Y46,1,4)&lt;&gt;"Wahl")*(Deckblatt!$C$14='WK-Vorlagen'!$C$82))+(Deckblatt!$C$14&lt;&gt;'WK-Vorlagen'!$C$82),"",IF(ISERROR(MATCH(VALUE(MID(G46,1,2)),Schwierigkeitsstufen!$G$7:$G$19,0)),"Gerät falsch",LOOKUP(VALUE(MID(G46,1,2)),Schwierigkeitsstufen!$G$7:$G$19,Schwierigkeitsstufen!$H$7:$H$19)))</f>
        <v/>
      </c>
      <c r="AB46" s="321" t="str">
        <f>IF((($A46="")*($B46=""))+((MID($Y46,1,4)&lt;&gt;"Wahl")*(Deckblatt!$C$14='WK-Vorlagen'!$C$82))+(Deckblatt!$C$14&lt;&gt;'WK-Vorlagen'!$C$82),"",IF(ISERROR(MATCH(VALUE(MID(H46,1,2)),Schwierigkeitsstufen!$G$7:$G$19,0)),"Gerät falsch",LOOKUP(VALUE(MID(H46,1,2)),Schwierigkeitsstufen!$G$7:$G$19,Schwierigkeitsstufen!$H$7:$H$19)))</f>
        <v/>
      </c>
      <c r="AC46" s="321" t="str">
        <f>IF((($A46="")*($B46=""))+((MID($Y46,1,4)&lt;&gt;"Wahl")*(Deckblatt!$C$14='WK-Vorlagen'!$C$82))+(Deckblatt!$C$14&lt;&gt;'WK-Vorlagen'!$C$82),"",IF(ISERROR(MATCH(VALUE(MID(I46,1,2)),Schwierigkeitsstufen!$G$7:$G$19,0)),"Gerät falsch",LOOKUP(VALUE(MID(I46,1,2)),Schwierigkeitsstufen!$G$7:$G$19,Schwierigkeitsstufen!$H$7:$H$19)))</f>
        <v/>
      </c>
      <c r="AD46" s="322" t="str">
        <f>IF((($A46="")*($B46=""))+((MID($Y46,1,4)&lt;&gt;"Wahl")*(Deckblatt!$C$14='WK-Vorlagen'!$C$82))+(Deckblatt!$C$14&lt;&gt;'WK-Vorlagen'!$C$82),"",IF(ISERROR(MATCH(VALUE(MID(J46,1,2)),Schwierigkeitsstufen!$G$7:$G$19,0)),"Gerät falsch",LOOKUP(VALUE(MID(J46,1,2)),Schwierigkeitsstufen!$G$7:$G$19,Schwierigkeitsstufen!$H$7:$H$19)))</f>
        <v/>
      </c>
      <c r="AE46" s="211"/>
      <c r="AG46" s="221" t="str">
        <f t="shared" si="0"/>
        <v/>
      </c>
      <c r="AH46" s="222" t="str">
        <f t="shared" si="5"/>
        <v/>
      </c>
      <c r="AI46" s="220">
        <f t="shared" si="6"/>
        <v>4</v>
      </c>
      <c r="AJ46" s="222">
        <f t="shared" si="7"/>
        <v>0</v>
      </c>
      <c r="AK46" s="299" t="str">
        <f>IF(ISERROR(LOOKUP(E46,WKNrListe,Übersicht!$R$7:$R$46)),"-",LOOKUP(E46,WKNrListe,Übersicht!$R$7:$R$46))</f>
        <v>-</v>
      </c>
      <c r="AL46" s="299" t="str">
        <f t="shared" si="2"/>
        <v>-</v>
      </c>
      <c r="AM46" s="303"/>
      <c r="AN46" s="174" t="str">
        <f>IF(ISBLANK(A46)*ISBLANK(B46)*ISBLANK(C46)*ISBLANK(E46)*ISBLANK(F46)*ISBLANK(G46)*ISBLANK(H46)*ISBLANK(I46)*ISBLANK(J46),"Leer","Voll")</f>
        <v>Leer</v>
      </c>
    </row>
    <row r="47" spans="1:40" s="174" customFormat="1" ht="15" customHeight="1">
      <c r="A47" s="63"/>
      <c r="B47" s="63"/>
      <c r="C47" s="84"/>
      <c r="D47" s="85"/>
      <c r="E47" s="62"/>
      <c r="F47" s="62"/>
      <c r="G47" s="62"/>
      <c r="H47" s="62"/>
      <c r="I47" s="62"/>
      <c r="J47" s="62"/>
      <c r="K47" s="62"/>
      <c r="L47" s="62"/>
      <c r="M47" s="62"/>
      <c r="N47" s="62"/>
      <c r="O47" s="62"/>
      <c r="P47" s="62"/>
      <c r="Q47" s="62"/>
      <c r="R47" s="62"/>
      <c r="S47" s="258"/>
      <c r="T47" s="248" t="str">
        <f t="shared" si="3"/>
        <v/>
      </c>
      <c r="U47" s="249" t="str">
        <f t="shared" si="4"/>
        <v/>
      </c>
      <c r="V47" s="294" t="str">
        <f t="shared" si="1"/>
        <v/>
      </c>
      <c r="W47" s="294" t="str">
        <f>IF(((E47="")+(F47="")),"",IF(VLOOKUP(F47,Mannschaften!$A$1:$B$54,2,FALSE)&lt;&gt;E47,"Reiter Mannschaften füllen",""))</f>
        <v/>
      </c>
      <c r="X47" s="248" t="str">
        <f>IF(ISBLANK(C47),"",IF((U47&gt;(LOOKUP(E47,WKNrListe,Übersicht!$O$7:$O$46)))+(U47&lt;(LOOKUP(E47,WKNrListe,Übersicht!$P$7:$P$46))),"JG falsch",""))</f>
        <v/>
      </c>
      <c r="Y47" s="255" t="str">
        <f>IF((A47="")*(B47=""),"",IF(ISERROR(MATCH(E47,WKNrListe,0)),"WK falsch",LOOKUP(E47,WKNrListe,Übersicht!$B$7:$B$46)))</f>
        <v/>
      </c>
      <c r="Z47" s="269" t="str">
        <f>IF(((AJ47=0)*(AH47&lt;&gt;"")*(AK47="-"))+((AJ47&lt;&gt;0)*(AH47&lt;&gt;"")*(AK47="-")),IF(AG47="X",Übersicht!$C$70,Übersicht!$C$69),"-")</f>
        <v>-</v>
      </c>
      <c r="AA47" s="252" t="str">
        <f>IF((($A47="")*($B47=""))+((MID($Y47,1,4)&lt;&gt;"Wahl")*(Deckblatt!$C$14='WK-Vorlagen'!$C$82))+(Deckblatt!$C$14&lt;&gt;'WK-Vorlagen'!$C$82),"",IF(ISERROR(MATCH(VALUE(MID(G47,1,2)),Schwierigkeitsstufen!$G$7:$G$19,0)),"Gerät falsch",LOOKUP(VALUE(MID(G47,1,2)),Schwierigkeitsstufen!$G$7:$G$19,Schwierigkeitsstufen!$H$7:$H$19)))</f>
        <v/>
      </c>
      <c r="AB47" s="250" t="str">
        <f>IF((($A47="")*($B47=""))+((MID($Y47,1,4)&lt;&gt;"Wahl")*(Deckblatt!$C$14='WK-Vorlagen'!$C$82))+(Deckblatt!$C$14&lt;&gt;'WK-Vorlagen'!$C$82),"",IF(ISERROR(MATCH(VALUE(MID(H47,1,2)),Schwierigkeitsstufen!$G$7:$G$19,0)),"Gerät falsch",LOOKUP(VALUE(MID(H47,1,2)),Schwierigkeitsstufen!$G$7:$G$19,Schwierigkeitsstufen!$H$7:$H$19)))</f>
        <v/>
      </c>
      <c r="AC47" s="250" t="str">
        <f>IF((($A47="")*($B47=""))+((MID($Y47,1,4)&lt;&gt;"Wahl")*(Deckblatt!$C$14='WK-Vorlagen'!$C$82))+(Deckblatt!$C$14&lt;&gt;'WK-Vorlagen'!$C$82),"",IF(ISERROR(MATCH(VALUE(MID(I47,1,2)),Schwierigkeitsstufen!$G$7:$G$19,0)),"Gerät falsch",LOOKUP(VALUE(MID(I47,1,2)),Schwierigkeitsstufen!$G$7:$G$19,Schwierigkeitsstufen!$H$7:$H$19)))</f>
        <v/>
      </c>
      <c r="AD47" s="251" t="str">
        <f>IF((($A47="")*($B47=""))+((MID($Y47,1,4)&lt;&gt;"Wahl")*(Deckblatt!$C$14='WK-Vorlagen'!$C$82))+(Deckblatt!$C$14&lt;&gt;'WK-Vorlagen'!$C$82),"",IF(ISERROR(MATCH(VALUE(MID(J47,1,2)),Schwierigkeitsstufen!$G$7:$G$19,0)),"Gerät falsch",LOOKUP(VALUE(MID(J47,1,2)),Schwierigkeitsstufen!$G$7:$G$19,Schwierigkeitsstufen!$H$7:$H$19)))</f>
        <v/>
      </c>
      <c r="AE47" s="211"/>
      <c r="AG47" s="221" t="str">
        <f t="shared" si="0"/>
        <v/>
      </c>
      <c r="AH47" s="222" t="str">
        <f t="shared" si="5"/>
        <v/>
      </c>
      <c r="AI47" s="220">
        <f t="shared" si="6"/>
        <v>4</v>
      </c>
      <c r="AJ47" s="222">
        <f t="shared" si="7"/>
        <v>0</v>
      </c>
      <c r="AK47" s="299" t="str">
        <f>IF(ISERROR(LOOKUP(E47,WKNrListe,Übersicht!$R$7:$R$46)),"-",LOOKUP(E47,WKNrListe,Übersicht!$R$7:$R$46))</f>
        <v>-</v>
      </c>
      <c r="AL47" s="299" t="str">
        <f t="shared" si="2"/>
        <v>-</v>
      </c>
      <c r="AM47" s="303"/>
      <c r="AN47" s="174" t="str">
        <f t="shared" ref="AN47:AN110" si="8">IF(ISBLANK(A47)*ISBLANK(B47)*ISBLANK(C47)*ISBLANK(E47)*ISBLANK(F47)*ISBLANK(G47)*ISBLANK(H47)*ISBLANK(I47)*ISBLANK(J47),"Leer","Voll")</f>
        <v>Leer</v>
      </c>
    </row>
    <row r="48" spans="1:40" s="174" customFormat="1" ht="15" customHeight="1">
      <c r="A48" s="63"/>
      <c r="B48" s="63"/>
      <c r="C48" s="84"/>
      <c r="D48" s="85"/>
      <c r="E48" s="62"/>
      <c r="F48" s="62"/>
      <c r="G48" s="62"/>
      <c r="H48" s="62"/>
      <c r="I48" s="62"/>
      <c r="J48" s="62"/>
      <c r="K48" s="62"/>
      <c r="L48" s="62"/>
      <c r="M48" s="62"/>
      <c r="N48" s="62"/>
      <c r="O48" s="62"/>
      <c r="P48" s="62"/>
      <c r="Q48" s="62"/>
      <c r="R48" s="62"/>
      <c r="S48" s="258"/>
      <c r="T48" s="248" t="str">
        <f t="shared" si="3"/>
        <v/>
      </c>
      <c r="U48" s="249" t="str">
        <f t="shared" si="4"/>
        <v/>
      </c>
      <c r="V48" s="294" t="str">
        <f t="shared" si="1"/>
        <v/>
      </c>
      <c r="W48" s="294" t="str">
        <f>IF(((E48="")+(F48="")),"",IF(VLOOKUP(F48,Mannschaften!$A$1:$B$54,2,FALSE)&lt;&gt;E48,"Reiter Mannschaften füllen",""))</f>
        <v/>
      </c>
      <c r="X48" s="248" t="str">
        <f>IF(ISBLANK(C48),"",IF((U48&gt;(LOOKUP(E48,WKNrListe,Übersicht!$O$7:$O$46)))+(U48&lt;(LOOKUP(E48,WKNrListe,Übersicht!$P$7:$P$46))),"JG falsch",""))</f>
        <v/>
      </c>
      <c r="Y48" s="255" t="str">
        <f>IF((A48="")*(B48=""),"",IF(ISERROR(MATCH(E48,WKNrListe,0)),"WK falsch",LOOKUP(E48,WKNrListe,Übersicht!$B$7:$B$46)))</f>
        <v/>
      </c>
      <c r="Z48" s="269" t="str">
        <f>IF(((AJ48=0)*(AH48&lt;&gt;"")*(AK48="-"))+((AJ48&lt;&gt;0)*(AH48&lt;&gt;"")*(AK48="-")),IF(AG48="X",Übersicht!$C$70,Übersicht!$C$69),"-")</f>
        <v>-</v>
      </c>
      <c r="AA48" s="252" t="str">
        <f>IF((($A48="")*($B48=""))+((MID($Y48,1,4)&lt;&gt;"Wahl")*(Deckblatt!$C$14='WK-Vorlagen'!$C$82))+(Deckblatt!$C$14&lt;&gt;'WK-Vorlagen'!$C$82),"",IF(ISERROR(MATCH(VALUE(MID(G48,1,2)),Schwierigkeitsstufen!$G$7:$G$19,0)),"Gerät falsch",LOOKUP(VALUE(MID(G48,1,2)),Schwierigkeitsstufen!$G$7:$G$19,Schwierigkeitsstufen!$H$7:$H$19)))</f>
        <v/>
      </c>
      <c r="AB48" s="250" t="str">
        <f>IF((($A48="")*($B48=""))+((MID($Y48,1,4)&lt;&gt;"Wahl")*(Deckblatt!$C$14='WK-Vorlagen'!$C$82))+(Deckblatt!$C$14&lt;&gt;'WK-Vorlagen'!$C$82),"",IF(ISERROR(MATCH(VALUE(MID(H48,1,2)),Schwierigkeitsstufen!$G$7:$G$19,0)),"Gerät falsch",LOOKUP(VALUE(MID(H48,1,2)),Schwierigkeitsstufen!$G$7:$G$19,Schwierigkeitsstufen!$H$7:$H$19)))</f>
        <v/>
      </c>
      <c r="AC48" s="250" t="str">
        <f>IF((($A48="")*($B48=""))+((MID($Y48,1,4)&lt;&gt;"Wahl")*(Deckblatt!$C$14='WK-Vorlagen'!$C$82))+(Deckblatt!$C$14&lt;&gt;'WK-Vorlagen'!$C$82),"",IF(ISERROR(MATCH(VALUE(MID(I48,1,2)),Schwierigkeitsstufen!$G$7:$G$19,0)),"Gerät falsch",LOOKUP(VALUE(MID(I48,1,2)),Schwierigkeitsstufen!$G$7:$G$19,Schwierigkeitsstufen!$H$7:$H$19)))</f>
        <v/>
      </c>
      <c r="AD48" s="251" t="str">
        <f>IF((($A48="")*($B48=""))+((MID($Y48,1,4)&lt;&gt;"Wahl")*(Deckblatt!$C$14='WK-Vorlagen'!$C$82))+(Deckblatt!$C$14&lt;&gt;'WK-Vorlagen'!$C$82),"",IF(ISERROR(MATCH(VALUE(MID(J48,1,2)),Schwierigkeitsstufen!$G$7:$G$19,0)),"Gerät falsch",LOOKUP(VALUE(MID(J48,1,2)),Schwierigkeitsstufen!$G$7:$G$19,Schwierigkeitsstufen!$H$7:$H$19)))</f>
        <v/>
      </c>
      <c r="AE48" s="211"/>
      <c r="AG48" s="221" t="str">
        <f t="shared" si="0"/>
        <v/>
      </c>
      <c r="AH48" s="222" t="str">
        <f t="shared" si="5"/>
        <v/>
      </c>
      <c r="AI48" s="220">
        <f t="shared" si="6"/>
        <v>4</v>
      </c>
      <c r="AJ48" s="222">
        <f t="shared" si="7"/>
        <v>0</v>
      </c>
      <c r="AK48" s="299" t="str">
        <f>IF(ISERROR(LOOKUP(E48,WKNrListe,Übersicht!$R$7:$R$46)),"-",LOOKUP(E48,WKNrListe,Übersicht!$R$7:$R$46))</f>
        <v>-</v>
      </c>
      <c r="AL48" s="299" t="str">
        <f t="shared" si="2"/>
        <v>-</v>
      </c>
      <c r="AM48" s="303"/>
      <c r="AN48" s="174" t="str">
        <f t="shared" si="8"/>
        <v>Leer</v>
      </c>
    </row>
    <row r="49" spans="1:40" s="174" customFormat="1" ht="15" customHeight="1">
      <c r="A49" s="63"/>
      <c r="B49" s="63"/>
      <c r="C49" s="84"/>
      <c r="D49" s="85"/>
      <c r="E49" s="62"/>
      <c r="F49" s="62"/>
      <c r="G49" s="62"/>
      <c r="H49" s="62"/>
      <c r="I49" s="62"/>
      <c r="J49" s="62"/>
      <c r="K49" s="62"/>
      <c r="L49" s="62"/>
      <c r="M49" s="62"/>
      <c r="N49" s="62"/>
      <c r="O49" s="62"/>
      <c r="P49" s="62"/>
      <c r="Q49" s="62"/>
      <c r="R49" s="62"/>
      <c r="S49" s="258"/>
      <c r="T49" s="248" t="str">
        <f t="shared" si="3"/>
        <v/>
      </c>
      <c r="U49" s="249" t="str">
        <f t="shared" si="4"/>
        <v/>
      </c>
      <c r="V49" s="294" t="str">
        <f t="shared" si="1"/>
        <v/>
      </c>
      <c r="W49" s="294" t="str">
        <f>IF(((E49="")+(F49="")),"",IF(VLOOKUP(F49,Mannschaften!$A$1:$B$54,2,FALSE)&lt;&gt;E49,"Reiter Mannschaften füllen",""))</f>
        <v/>
      </c>
      <c r="X49" s="248" t="str">
        <f>IF(ISBLANK(C49),"",IF((U49&gt;(LOOKUP(E49,WKNrListe,Übersicht!$O$7:$O$46)))+(U49&lt;(LOOKUP(E49,WKNrListe,Übersicht!$P$7:$P$46))),"JG falsch",""))</f>
        <v/>
      </c>
      <c r="Y49" s="255" t="str">
        <f>IF((A49="")*(B49=""),"",IF(ISERROR(MATCH(E49,WKNrListe,0)),"WK falsch",LOOKUP(E49,WKNrListe,Übersicht!$B$7:$B$46)))</f>
        <v/>
      </c>
      <c r="Z49" s="269" t="str">
        <f>IF(((AJ49=0)*(AH49&lt;&gt;"")*(AK49="-"))+((AJ49&lt;&gt;0)*(AH49&lt;&gt;"")*(AK49="-")),IF(AG49="X",Übersicht!$C$70,Übersicht!$C$69),"-")</f>
        <v>-</v>
      </c>
      <c r="AA49" s="252" t="str">
        <f>IF((($A49="")*($B49=""))+((MID($Y49,1,4)&lt;&gt;"Wahl")*(Deckblatt!$C$14='WK-Vorlagen'!$C$82))+(Deckblatt!$C$14&lt;&gt;'WK-Vorlagen'!$C$82),"",IF(ISERROR(MATCH(VALUE(MID(G49,1,2)),Schwierigkeitsstufen!$G$7:$G$19,0)),"Gerät falsch",LOOKUP(VALUE(MID(G49,1,2)),Schwierigkeitsstufen!$G$7:$G$19,Schwierigkeitsstufen!$H$7:$H$19)))</f>
        <v/>
      </c>
      <c r="AB49" s="250" t="str">
        <f>IF((($A49="")*($B49=""))+((MID($Y49,1,4)&lt;&gt;"Wahl")*(Deckblatt!$C$14='WK-Vorlagen'!$C$82))+(Deckblatt!$C$14&lt;&gt;'WK-Vorlagen'!$C$82),"",IF(ISERROR(MATCH(VALUE(MID(H49,1,2)),Schwierigkeitsstufen!$G$7:$G$19,0)),"Gerät falsch",LOOKUP(VALUE(MID(H49,1,2)),Schwierigkeitsstufen!$G$7:$G$19,Schwierigkeitsstufen!$H$7:$H$19)))</f>
        <v/>
      </c>
      <c r="AC49" s="250" t="str">
        <f>IF((($A49="")*($B49=""))+((MID($Y49,1,4)&lt;&gt;"Wahl")*(Deckblatt!$C$14='WK-Vorlagen'!$C$82))+(Deckblatt!$C$14&lt;&gt;'WK-Vorlagen'!$C$82),"",IF(ISERROR(MATCH(VALUE(MID(I49,1,2)),Schwierigkeitsstufen!$G$7:$G$19,0)),"Gerät falsch",LOOKUP(VALUE(MID(I49,1,2)),Schwierigkeitsstufen!$G$7:$G$19,Schwierigkeitsstufen!$H$7:$H$19)))</f>
        <v/>
      </c>
      <c r="AD49" s="251" t="str">
        <f>IF((($A49="")*($B49=""))+((MID($Y49,1,4)&lt;&gt;"Wahl")*(Deckblatt!$C$14='WK-Vorlagen'!$C$82))+(Deckblatt!$C$14&lt;&gt;'WK-Vorlagen'!$C$82),"",IF(ISERROR(MATCH(VALUE(MID(J49,1,2)),Schwierigkeitsstufen!$G$7:$G$19,0)),"Gerät falsch",LOOKUP(VALUE(MID(J49,1,2)),Schwierigkeitsstufen!$G$7:$G$19,Schwierigkeitsstufen!$H$7:$H$19)))</f>
        <v/>
      </c>
      <c r="AE49" s="211"/>
      <c r="AG49" s="221" t="str">
        <f t="shared" si="0"/>
        <v/>
      </c>
      <c r="AH49" s="222" t="str">
        <f t="shared" si="5"/>
        <v/>
      </c>
      <c r="AI49" s="220">
        <f t="shared" si="6"/>
        <v>4</v>
      </c>
      <c r="AJ49" s="222">
        <f t="shared" si="7"/>
        <v>0</v>
      </c>
      <c r="AK49" s="299" t="str">
        <f>IF(ISERROR(LOOKUP(E49,WKNrListe,Übersicht!$R$7:$R$46)),"-",LOOKUP(E49,WKNrListe,Übersicht!$R$7:$R$46))</f>
        <v>-</v>
      </c>
      <c r="AL49" s="299" t="str">
        <f t="shared" si="2"/>
        <v>-</v>
      </c>
      <c r="AM49" s="303"/>
      <c r="AN49" s="174" t="str">
        <f t="shared" si="8"/>
        <v>Leer</v>
      </c>
    </row>
    <row r="50" spans="1:40" s="174" customFormat="1" ht="15" customHeight="1">
      <c r="A50" s="63"/>
      <c r="B50" s="63"/>
      <c r="C50" s="84"/>
      <c r="D50" s="85"/>
      <c r="E50" s="62"/>
      <c r="F50" s="62"/>
      <c r="G50" s="62"/>
      <c r="H50" s="62"/>
      <c r="I50" s="62"/>
      <c r="J50" s="62"/>
      <c r="K50" s="62"/>
      <c r="L50" s="62"/>
      <c r="M50" s="62"/>
      <c r="N50" s="62"/>
      <c r="O50" s="62"/>
      <c r="P50" s="62"/>
      <c r="Q50" s="62"/>
      <c r="R50" s="62"/>
      <c r="S50" s="258"/>
      <c r="T50" s="248" t="str">
        <f t="shared" si="3"/>
        <v/>
      </c>
      <c r="U50" s="249" t="str">
        <f t="shared" si="4"/>
        <v/>
      </c>
      <c r="V50" s="294" t="str">
        <f t="shared" si="1"/>
        <v/>
      </c>
      <c r="W50" s="294" t="str">
        <f>IF(((E50="")+(F50="")),"",IF(VLOOKUP(F50,Mannschaften!$A$1:$B$54,2,FALSE)&lt;&gt;E50,"Reiter Mannschaften füllen",""))</f>
        <v/>
      </c>
      <c r="X50" s="248" t="str">
        <f>IF(ISBLANK(C50),"",IF((U50&gt;(LOOKUP(E50,WKNrListe,Übersicht!$O$7:$O$46)))+(U50&lt;(LOOKUP(E50,WKNrListe,Übersicht!$P$7:$P$46))),"JG falsch",""))</f>
        <v/>
      </c>
      <c r="Y50" s="255" t="str">
        <f>IF((A50="")*(B50=""),"",IF(ISERROR(MATCH(E50,WKNrListe,0)),"WK falsch",LOOKUP(E50,WKNrListe,Übersicht!$B$7:$B$46)))</f>
        <v/>
      </c>
      <c r="Z50" s="269" t="str">
        <f>IF(((AJ50=0)*(AH50&lt;&gt;"")*(AK50="-"))+((AJ50&lt;&gt;0)*(AH50&lt;&gt;"")*(AK50="-")),IF(AG50="X",Übersicht!$C$70,Übersicht!$C$69),"-")</f>
        <v>-</v>
      </c>
      <c r="AA50" s="252" t="str">
        <f>IF((($A50="")*($B50=""))+((MID($Y50,1,4)&lt;&gt;"Wahl")*(Deckblatt!$C$14='WK-Vorlagen'!$C$82))+(Deckblatt!$C$14&lt;&gt;'WK-Vorlagen'!$C$82),"",IF(ISERROR(MATCH(VALUE(MID(G50,1,2)),Schwierigkeitsstufen!$G$7:$G$19,0)),"Gerät falsch",LOOKUP(VALUE(MID(G50,1,2)),Schwierigkeitsstufen!$G$7:$G$19,Schwierigkeitsstufen!$H$7:$H$19)))</f>
        <v/>
      </c>
      <c r="AB50" s="250" t="str">
        <f>IF((($A50="")*($B50=""))+((MID($Y50,1,4)&lt;&gt;"Wahl")*(Deckblatt!$C$14='WK-Vorlagen'!$C$82))+(Deckblatt!$C$14&lt;&gt;'WK-Vorlagen'!$C$82),"",IF(ISERROR(MATCH(VALUE(MID(H50,1,2)),Schwierigkeitsstufen!$G$7:$G$19,0)),"Gerät falsch",LOOKUP(VALUE(MID(H50,1,2)),Schwierigkeitsstufen!$G$7:$G$19,Schwierigkeitsstufen!$H$7:$H$19)))</f>
        <v/>
      </c>
      <c r="AC50" s="250" t="str">
        <f>IF((($A50="")*($B50=""))+((MID($Y50,1,4)&lt;&gt;"Wahl")*(Deckblatt!$C$14='WK-Vorlagen'!$C$82))+(Deckblatt!$C$14&lt;&gt;'WK-Vorlagen'!$C$82),"",IF(ISERROR(MATCH(VALUE(MID(I50,1,2)),Schwierigkeitsstufen!$G$7:$G$19,0)),"Gerät falsch",LOOKUP(VALUE(MID(I50,1,2)),Schwierigkeitsstufen!$G$7:$G$19,Schwierigkeitsstufen!$H$7:$H$19)))</f>
        <v/>
      </c>
      <c r="AD50" s="251" t="str">
        <f>IF((($A50="")*($B50=""))+((MID($Y50,1,4)&lt;&gt;"Wahl")*(Deckblatt!$C$14='WK-Vorlagen'!$C$82))+(Deckblatt!$C$14&lt;&gt;'WK-Vorlagen'!$C$82),"",IF(ISERROR(MATCH(VALUE(MID(J50,1,2)),Schwierigkeitsstufen!$G$7:$G$19,0)),"Gerät falsch",LOOKUP(VALUE(MID(J50,1,2)),Schwierigkeitsstufen!$G$7:$G$19,Schwierigkeitsstufen!$H$7:$H$19)))</f>
        <v/>
      </c>
      <c r="AE50" s="211"/>
      <c r="AG50" s="221" t="str">
        <f t="shared" si="0"/>
        <v/>
      </c>
      <c r="AH50" s="222" t="str">
        <f t="shared" si="5"/>
        <v/>
      </c>
      <c r="AI50" s="220">
        <f t="shared" si="6"/>
        <v>4</v>
      </c>
      <c r="AJ50" s="222">
        <f t="shared" si="7"/>
        <v>0</v>
      </c>
      <c r="AK50" s="299" t="str">
        <f>IF(ISERROR(LOOKUP(E50,WKNrListe,Übersicht!$R$7:$R$46)),"-",LOOKUP(E50,WKNrListe,Übersicht!$R$7:$R$46))</f>
        <v>-</v>
      </c>
      <c r="AL50" s="299" t="str">
        <f t="shared" si="2"/>
        <v>-</v>
      </c>
      <c r="AM50" s="303"/>
      <c r="AN50" s="174" t="str">
        <f t="shared" si="8"/>
        <v>Leer</v>
      </c>
    </row>
    <row r="51" spans="1:40" s="174" customFormat="1" ht="15" customHeight="1">
      <c r="A51" s="63"/>
      <c r="B51" s="63"/>
      <c r="C51" s="84"/>
      <c r="D51" s="85"/>
      <c r="E51" s="62"/>
      <c r="F51" s="62"/>
      <c r="G51" s="62"/>
      <c r="H51" s="62"/>
      <c r="I51" s="62"/>
      <c r="J51" s="62"/>
      <c r="K51" s="62"/>
      <c r="L51" s="62"/>
      <c r="M51" s="62"/>
      <c r="N51" s="62"/>
      <c r="O51" s="62"/>
      <c r="P51" s="62"/>
      <c r="Q51" s="62"/>
      <c r="R51" s="62"/>
      <c r="S51" s="258"/>
      <c r="T51" s="248" t="str">
        <f t="shared" si="3"/>
        <v/>
      </c>
      <c r="U51" s="249" t="str">
        <f t="shared" si="4"/>
        <v/>
      </c>
      <c r="V51" s="294" t="str">
        <f t="shared" si="1"/>
        <v/>
      </c>
      <c r="W51" s="294" t="str">
        <f>IF(((E51="")+(F51="")),"",IF(VLOOKUP(F51,Mannschaften!$A$1:$B$54,2,FALSE)&lt;&gt;E51,"Reiter Mannschaften füllen",""))</f>
        <v/>
      </c>
      <c r="X51" s="248" t="str">
        <f>IF(ISBLANK(C51),"",IF((U51&gt;(LOOKUP(E51,WKNrListe,Übersicht!$O$7:$O$46)))+(U51&lt;(LOOKUP(E51,WKNrListe,Übersicht!$P$7:$P$46))),"JG falsch",""))</f>
        <v/>
      </c>
      <c r="Y51" s="255" t="str">
        <f>IF((A51="")*(B51=""),"",IF(ISERROR(MATCH(E51,WKNrListe,0)),"WK falsch",LOOKUP(E51,WKNrListe,Übersicht!$B$7:$B$46)))</f>
        <v/>
      </c>
      <c r="Z51" s="269" t="str">
        <f>IF(((AJ51=0)*(AH51&lt;&gt;"")*(AK51="-"))+((AJ51&lt;&gt;0)*(AH51&lt;&gt;"")*(AK51="-")),IF(AG51="X",Übersicht!$C$70,Übersicht!$C$69),"-")</f>
        <v>-</v>
      </c>
      <c r="AA51" s="252" t="str">
        <f>IF((($A51="")*($B51=""))+((MID($Y51,1,4)&lt;&gt;"Wahl")*(Deckblatt!$C$14='WK-Vorlagen'!$C$82))+(Deckblatt!$C$14&lt;&gt;'WK-Vorlagen'!$C$82),"",IF(ISERROR(MATCH(VALUE(MID(G51,1,2)),Schwierigkeitsstufen!$G$7:$G$19,0)),"Gerät falsch",LOOKUP(VALUE(MID(G51,1,2)),Schwierigkeitsstufen!$G$7:$G$19,Schwierigkeitsstufen!$H$7:$H$19)))</f>
        <v/>
      </c>
      <c r="AB51" s="250" t="str">
        <f>IF((($A51="")*($B51=""))+((MID($Y51,1,4)&lt;&gt;"Wahl")*(Deckblatt!$C$14='WK-Vorlagen'!$C$82))+(Deckblatt!$C$14&lt;&gt;'WK-Vorlagen'!$C$82),"",IF(ISERROR(MATCH(VALUE(MID(H51,1,2)),Schwierigkeitsstufen!$G$7:$G$19,0)),"Gerät falsch",LOOKUP(VALUE(MID(H51,1,2)),Schwierigkeitsstufen!$G$7:$G$19,Schwierigkeitsstufen!$H$7:$H$19)))</f>
        <v/>
      </c>
      <c r="AC51" s="250" t="str">
        <f>IF((($A51="")*($B51=""))+((MID($Y51,1,4)&lt;&gt;"Wahl")*(Deckblatt!$C$14='WK-Vorlagen'!$C$82))+(Deckblatt!$C$14&lt;&gt;'WK-Vorlagen'!$C$82),"",IF(ISERROR(MATCH(VALUE(MID(I51,1,2)),Schwierigkeitsstufen!$G$7:$G$19,0)),"Gerät falsch",LOOKUP(VALUE(MID(I51,1,2)),Schwierigkeitsstufen!$G$7:$G$19,Schwierigkeitsstufen!$H$7:$H$19)))</f>
        <v/>
      </c>
      <c r="AD51" s="251" t="str">
        <f>IF((($A51="")*($B51=""))+((MID($Y51,1,4)&lt;&gt;"Wahl")*(Deckblatt!$C$14='WK-Vorlagen'!$C$82))+(Deckblatt!$C$14&lt;&gt;'WK-Vorlagen'!$C$82),"",IF(ISERROR(MATCH(VALUE(MID(J51,1,2)),Schwierigkeitsstufen!$G$7:$G$19,0)),"Gerät falsch",LOOKUP(VALUE(MID(J51,1,2)),Schwierigkeitsstufen!$G$7:$G$19,Schwierigkeitsstufen!$H$7:$H$19)))</f>
        <v/>
      </c>
      <c r="AE51" s="211"/>
      <c r="AG51" s="221" t="str">
        <f t="shared" si="0"/>
        <v/>
      </c>
      <c r="AH51" s="222" t="str">
        <f t="shared" si="5"/>
        <v/>
      </c>
      <c r="AI51" s="220">
        <f t="shared" si="6"/>
        <v>4</v>
      </c>
      <c r="AJ51" s="222">
        <f t="shared" si="7"/>
        <v>0</v>
      </c>
      <c r="AK51" s="299" t="str">
        <f>IF(ISERROR(LOOKUP(E51,WKNrListe,Übersicht!$R$7:$R$46)),"-",LOOKUP(E51,WKNrListe,Übersicht!$R$7:$R$46))</f>
        <v>-</v>
      </c>
      <c r="AL51" s="299" t="str">
        <f t="shared" si="2"/>
        <v>-</v>
      </c>
      <c r="AM51" s="303"/>
      <c r="AN51" s="174" t="str">
        <f t="shared" si="8"/>
        <v>Leer</v>
      </c>
    </row>
    <row r="52" spans="1:40" s="174" customFormat="1" ht="15" customHeight="1">
      <c r="A52" s="63"/>
      <c r="B52" s="63"/>
      <c r="C52" s="84"/>
      <c r="D52" s="85"/>
      <c r="E52" s="62"/>
      <c r="F52" s="62"/>
      <c r="G52" s="62"/>
      <c r="H52" s="62"/>
      <c r="I52" s="62"/>
      <c r="J52" s="62"/>
      <c r="K52" s="62"/>
      <c r="L52" s="62"/>
      <c r="M52" s="62"/>
      <c r="N52" s="62"/>
      <c r="O52" s="62"/>
      <c r="P52" s="62"/>
      <c r="Q52" s="62"/>
      <c r="R52" s="62"/>
      <c r="S52" s="258"/>
      <c r="T52" s="248" t="str">
        <f t="shared" si="3"/>
        <v/>
      </c>
      <c r="U52" s="249" t="str">
        <f t="shared" si="4"/>
        <v/>
      </c>
      <c r="V52" s="294" t="str">
        <f t="shared" si="1"/>
        <v/>
      </c>
      <c r="W52" s="294" t="str">
        <f>IF(((E52="")+(F52="")),"",IF(VLOOKUP(F52,Mannschaften!$A$1:$B$54,2,FALSE)&lt;&gt;E52,"Reiter Mannschaften füllen",""))</f>
        <v/>
      </c>
      <c r="X52" s="248" t="str">
        <f>IF(ISBLANK(C52),"",IF((U52&gt;(LOOKUP(E52,WKNrListe,Übersicht!$O$7:$O$46)))+(U52&lt;(LOOKUP(E52,WKNrListe,Übersicht!$P$7:$P$46))),"JG falsch",""))</f>
        <v/>
      </c>
      <c r="Y52" s="255" t="str">
        <f>IF((A52="")*(B52=""),"",IF(ISERROR(MATCH(E52,WKNrListe,0)),"WK falsch",LOOKUP(E52,WKNrListe,Übersicht!$B$7:$B$46)))</f>
        <v/>
      </c>
      <c r="Z52" s="269" t="str">
        <f>IF(((AJ52=0)*(AH52&lt;&gt;"")*(AK52="-"))+((AJ52&lt;&gt;0)*(AH52&lt;&gt;"")*(AK52="-")),IF(AG52="X",Übersicht!$C$70,Übersicht!$C$69),"-")</f>
        <v>-</v>
      </c>
      <c r="AA52" s="252" t="str">
        <f>IF((($A52="")*($B52=""))+((MID($Y52,1,4)&lt;&gt;"Wahl")*(Deckblatt!$C$14='WK-Vorlagen'!$C$82))+(Deckblatt!$C$14&lt;&gt;'WK-Vorlagen'!$C$82),"",IF(ISERROR(MATCH(VALUE(MID(G52,1,2)),Schwierigkeitsstufen!$G$7:$G$19,0)),"Gerät falsch",LOOKUP(VALUE(MID(G52,1,2)),Schwierigkeitsstufen!$G$7:$G$19,Schwierigkeitsstufen!$H$7:$H$19)))</f>
        <v/>
      </c>
      <c r="AB52" s="250" t="str">
        <f>IF((($A52="")*($B52=""))+((MID($Y52,1,4)&lt;&gt;"Wahl")*(Deckblatt!$C$14='WK-Vorlagen'!$C$82))+(Deckblatt!$C$14&lt;&gt;'WK-Vorlagen'!$C$82),"",IF(ISERROR(MATCH(VALUE(MID(H52,1,2)),Schwierigkeitsstufen!$G$7:$G$19,0)),"Gerät falsch",LOOKUP(VALUE(MID(H52,1,2)),Schwierigkeitsstufen!$G$7:$G$19,Schwierigkeitsstufen!$H$7:$H$19)))</f>
        <v/>
      </c>
      <c r="AC52" s="250" t="str">
        <f>IF((($A52="")*($B52=""))+((MID($Y52,1,4)&lt;&gt;"Wahl")*(Deckblatt!$C$14='WK-Vorlagen'!$C$82))+(Deckblatt!$C$14&lt;&gt;'WK-Vorlagen'!$C$82),"",IF(ISERROR(MATCH(VALUE(MID(I52,1,2)),Schwierigkeitsstufen!$G$7:$G$19,0)),"Gerät falsch",LOOKUP(VALUE(MID(I52,1,2)),Schwierigkeitsstufen!$G$7:$G$19,Schwierigkeitsstufen!$H$7:$H$19)))</f>
        <v/>
      </c>
      <c r="AD52" s="251" t="str">
        <f>IF((($A52="")*($B52=""))+((MID($Y52,1,4)&lt;&gt;"Wahl")*(Deckblatt!$C$14='WK-Vorlagen'!$C$82))+(Deckblatt!$C$14&lt;&gt;'WK-Vorlagen'!$C$82),"",IF(ISERROR(MATCH(VALUE(MID(J52,1,2)),Schwierigkeitsstufen!$G$7:$G$19,0)),"Gerät falsch",LOOKUP(VALUE(MID(J52,1,2)),Schwierigkeitsstufen!$G$7:$G$19,Schwierigkeitsstufen!$H$7:$H$19)))</f>
        <v/>
      </c>
      <c r="AE52" s="211"/>
      <c r="AG52" s="221" t="str">
        <f t="shared" si="0"/>
        <v/>
      </c>
      <c r="AH52" s="222" t="str">
        <f t="shared" si="5"/>
        <v/>
      </c>
      <c r="AI52" s="220">
        <f t="shared" si="6"/>
        <v>4</v>
      </c>
      <c r="AJ52" s="222">
        <f t="shared" si="7"/>
        <v>0</v>
      </c>
      <c r="AK52" s="299" t="str">
        <f>IF(ISERROR(LOOKUP(E52,WKNrListe,Übersicht!$R$7:$R$46)),"-",LOOKUP(E52,WKNrListe,Übersicht!$R$7:$R$46))</f>
        <v>-</v>
      </c>
      <c r="AL52" s="299" t="str">
        <f t="shared" si="2"/>
        <v>-</v>
      </c>
      <c r="AM52" s="303"/>
      <c r="AN52" s="174" t="str">
        <f t="shared" si="8"/>
        <v>Leer</v>
      </c>
    </row>
    <row r="53" spans="1:40" s="174" customFormat="1" ht="15" customHeight="1">
      <c r="A53" s="63"/>
      <c r="B53" s="63"/>
      <c r="C53" s="84"/>
      <c r="D53" s="85"/>
      <c r="E53" s="62"/>
      <c r="F53" s="62"/>
      <c r="G53" s="62"/>
      <c r="H53" s="62"/>
      <c r="I53" s="62"/>
      <c r="J53" s="62"/>
      <c r="K53" s="62"/>
      <c r="L53" s="62"/>
      <c r="M53" s="62"/>
      <c r="N53" s="62"/>
      <c r="O53" s="62"/>
      <c r="P53" s="62"/>
      <c r="Q53" s="62"/>
      <c r="R53" s="62"/>
      <c r="S53" s="258"/>
      <c r="T53" s="248" t="str">
        <f t="shared" si="3"/>
        <v/>
      </c>
      <c r="U53" s="249" t="str">
        <f t="shared" si="4"/>
        <v/>
      </c>
      <c r="V53" s="294" t="str">
        <f t="shared" si="1"/>
        <v/>
      </c>
      <c r="W53" s="294" t="str">
        <f>IF(((E53="")+(F53="")),"",IF(VLOOKUP(F53,Mannschaften!$A$1:$B$54,2,FALSE)&lt;&gt;E53,"Reiter Mannschaften füllen",""))</f>
        <v/>
      </c>
      <c r="X53" s="248" t="str">
        <f>IF(ISBLANK(C53),"",IF((U53&gt;(LOOKUP(E53,WKNrListe,Übersicht!$O$7:$O$46)))+(U53&lt;(LOOKUP(E53,WKNrListe,Übersicht!$P$7:$P$46))),"JG falsch",""))</f>
        <v/>
      </c>
      <c r="Y53" s="255" t="str">
        <f>IF((A53="")*(B53=""),"",IF(ISERROR(MATCH(E53,WKNrListe,0)),"WK falsch",LOOKUP(E53,WKNrListe,Übersicht!$B$7:$B$46)))</f>
        <v/>
      </c>
      <c r="Z53" s="269" t="str">
        <f>IF(((AJ53=0)*(AH53&lt;&gt;"")*(AK53="-"))+((AJ53&lt;&gt;0)*(AH53&lt;&gt;"")*(AK53="-")),IF(AG53="X",Übersicht!$C$70,Übersicht!$C$69),"-")</f>
        <v>-</v>
      </c>
      <c r="AA53" s="252" t="str">
        <f>IF((($A53="")*($B53=""))+((MID($Y53,1,4)&lt;&gt;"Wahl")*(Deckblatt!$C$14='WK-Vorlagen'!$C$82))+(Deckblatt!$C$14&lt;&gt;'WK-Vorlagen'!$C$82),"",IF(ISERROR(MATCH(VALUE(MID(G53,1,2)),Schwierigkeitsstufen!$G$7:$G$19,0)),"Gerät falsch",LOOKUP(VALUE(MID(G53,1,2)),Schwierigkeitsstufen!$G$7:$G$19,Schwierigkeitsstufen!$H$7:$H$19)))</f>
        <v/>
      </c>
      <c r="AB53" s="250" t="str">
        <f>IF((($A53="")*($B53=""))+((MID($Y53,1,4)&lt;&gt;"Wahl")*(Deckblatt!$C$14='WK-Vorlagen'!$C$82))+(Deckblatt!$C$14&lt;&gt;'WK-Vorlagen'!$C$82),"",IF(ISERROR(MATCH(VALUE(MID(H53,1,2)),Schwierigkeitsstufen!$G$7:$G$19,0)),"Gerät falsch",LOOKUP(VALUE(MID(H53,1,2)),Schwierigkeitsstufen!$G$7:$G$19,Schwierigkeitsstufen!$H$7:$H$19)))</f>
        <v/>
      </c>
      <c r="AC53" s="250" t="str">
        <f>IF((($A53="")*($B53=""))+((MID($Y53,1,4)&lt;&gt;"Wahl")*(Deckblatt!$C$14='WK-Vorlagen'!$C$82))+(Deckblatt!$C$14&lt;&gt;'WK-Vorlagen'!$C$82),"",IF(ISERROR(MATCH(VALUE(MID(I53,1,2)),Schwierigkeitsstufen!$G$7:$G$19,0)),"Gerät falsch",LOOKUP(VALUE(MID(I53,1,2)),Schwierigkeitsstufen!$G$7:$G$19,Schwierigkeitsstufen!$H$7:$H$19)))</f>
        <v/>
      </c>
      <c r="AD53" s="251" t="str">
        <f>IF((($A53="")*($B53=""))+((MID($Y53,1,4)&lt;&gt;"Wahl")*(Deckblatt!$C$14='WK-Vorlagen'!$C$82))+(Deckblatt!$C$14&lt;&gt;'WK-Vorlagen'!$C$82),"",IF(ISERROR(MATCH(VALUE(MID(J53,1,2)),Schwierigkeitsstufen!$G$7:$G$19,0)),"Gerät falsch",LOOKUP(VALUE(MID(J53,1,2)),Schwierigkeitsstufen!$G$7:$G$19,Schwierigkeitsstufen!$H$7:$H$19)))</f>
        <v/>
      </c>
      <c r="AE53" s="211"/>
      <c r="AG53" s="221" t="str">
        <f t="shared" si="0"/>
        <v/>
      </c>
      <c r="AH53" s="222" t="str">
        <f t="shared" si="5"/>
        <v/>
      </c>
      <c r="AI53" s="220">
        <f t="shared" si="6"/>
        <v>4</v>
      </c>
      <c r="AJ53" s="222">
        <f t="shared" si="7"/>
        <v>0</v>
      </c>
      <c r="AK53" s="299" t="str">
        <f>IF(ISERROR(LOOKUP(E53,WKNrListe,Übersicht!$R$7:$R$46)),"-",LOOKUP(E53,WKNrListe,Übersicht!$R$7:$R$46))</f>
        <v>-</v>
      </c>
      <c r="AL53" s="299" t="str">
        <f t="shared" si="2"/>
        <v>-</v>
      </c>
      <c r="AM53" s="303"/>
      <c r="AN53" s="174" t="str">
        <f t="shared" si="8"/>
        <v>Leer</v>
      </c>
    </row>
    <row r="54" spans="1:40" s="174" customFormat="1" ht="15" customHeight="1">
      <c r="A54" s="63"/>
      <c r="B54" s="63"/>
      <c r="C54" s="84"/>
      <c r="D54" s="85"/>
      <c r="E54" s="62"/>
      <c r="F54" s="62"/>
      <c r="G54" s="62"/>
      <c r="H54" s="62"/>
      <c r="I54" s="62"/>
      <c r="J54" s="62"/>
      <c r="K54" s="62"/>
      <c r="L54" s="62"/>
      <c r="M54" s="62"/>
      <c r="N54" s="62"/>
      <c r="O54" s="62"/>
      <c r="P54" s="62"/>
      <c r="Q54" s="62"/>
      <c r="R54" s="62"/>
      <c r="S54" s="258"/>
      <c r="T54" s="248" t="str">
        <f t="shared" si="3"/>
        <v/>
      </c>
      <c r="U54" s="249" t="str">
        <f t="shared" si="4"/>
        <v/>
      </c>
      <c r="V54" s="294" t="str">
        <f t="shared" si="1"/>
        <v/>
      </c>
      <c r="W54" s="294" t="str">
        <f>IF(((E54="")+(F54="")),"",IF(VLOOKUP(F54,Mannschaften!$A$1:$B$54,2,FALSE)&lt;&gt;E54,"Reiter Mannschaften füllen",""))</f>
        <v/>
      </c>
      <c r="X54" s="248" t="str">
        <f>IF(ISBLANK(C54),"",IF((U54&gt;(LOOKUP(E54,WKNrListe,Übersicht!$O$7:$O$46)))+(U54&lt;(LOOKUP(E54,WKNrListe,Übersicht!$P$7:$P$46))),"JG falsch",""))</f>
        <v/>
      </c>
      <c r="Y54" s="255" t="str">
        <f>IF((A54="")*(B54=""),"",IF(ISERROR(MATCH(E54,WKNrListe,0)),"WK falsch",LOOKUP(E54,WKNrListe,Übersicht!$B$7:$B$46)))</f>
        <v/>
      </c>
      <c r="Z54" s="269" t="str">
        <f>IF(((AJ54=0)*(AH54&lt;&gt;"")*(AK54="-"))+((AJ54&lt;&gt;0)*(AH54&lt;&gt;"")*(AK54="-")),IF(AG54="X",Übersicht!$C$70,Übersicht!$C$69),"-")</f>
        <v>-</v>
      </c>
      <c r="AA54" s="252" t="str">
        <f>IF((($A54="")*($B54=""))+((MID($Y54,1,4)&lt;&gt;"Wahl")*(Deckblatt!$C$14='WK-Vorlagen'!$C$82))+(Deckblatt!$C$14&lt;&gt;'WK-Vorlagen'!$C$82),"",IF(ISERROR(MATCH(VALUE(MID(G54,1,2)),Schwierigkeitsstufen!$G$7:$G$19,0)),"Gerät falsch",LOOKUP(VALUE(MID(G54,1,2)),Schwierigkeitsstufen!$G$7:$G$19,Schwierigkeitsstufen!$H$7:$H$19)))</f>
        <v/>
      </c>
      <c r="AB54" s="250" t="str">
        <f>IF((($A54="")*($B54=""))+((MID($Y54,1,4)&lt;&gt;"Wahl")*(Deckblatt!$C$14='WK-Vorlagen'!$C$82))+(Deckblatt!$C$14&lt;&gt;'WK-Vorlagen'!$C$82),"",IF(ISERROR(MATCH(VALUE(MID(H54,1,2)),Schwierigkeitsstufen!$G$7:$G$19,0)),"Gerät falsch",LOOKUP(VALUE(MID(H54,1,2)),Schwierigkeitsstufen!$G$7:$G$19,Schwierigkeitsstufen!$H$7:$H$19)))</f>
        <v/>
      </c>
      <c r="AC54" s="250" t="str">
        <f>IF((($A54="")*($B54=""))+((MID($Y54,1,4)&lt;&gt;"Wahl")*(Deckblatt!$C$14='WK-Vorlagen'!$C$82))+(Deckblatt!$C$14&lt;&gt;'WK-Vorlagen'!$C$82),"",IF(ISERROR(MATCH(VALUE(MID(I54,1,2)),Schwierigkeitsstufen!$G$7:$G$19,0)),"Gerät falsch",LOOKUP(VALUE(MID(I54,1,2)),Schwierigkeitsstufen!$G$7:$G$19,Schwierigkeitsstufen!$H$7:$H$19)))</f>
        <v/>
      </c>
      <c r="AD54" s="251" t="str">
        <f>IF((($A54="")*($B54=""))+((MID($Y54,1,4)&lt;&gt;"Wahl")*(Deckblatt!$C$14='WK-Vorlagen'!$C$82))+(Deckblatt!$C$14&lt;&gt;'WK-Vorlagen'!$C$82),"",IF(ISERROR(MATCH(VALUE(MID(J54,1,2)),Schwierigkeitsstufen!$G$7:$G$19,0)),"Gerät falsch",LOOKUP(VALUE(MID(J54,1,2)),Schwierigkeitsstufen!$G$7:$G$19,Schwierigkeitsstufen!$H$7:$H$19)))</f>
        <v/>
      </c>
      <c r="AE54" s="211"/>
      <c r="AG54" s="221" t="str">
        <f t="shared" si="0"/>
        <v/>
      </c>
      <c r="AH54" s="222" t="str">
        <f t="shared" si="5"/>
        <v/>
      </c>
      <c r="AI54" s="220">
        <f t="shared" si="6"/>
        <v>4</v>
      </c>
      <c r="AJ54" s="222">
        <f t="shared" si="7"/>
        <v>0</v>
      </c>
      <c r="AK54" s="299" t="str">
        <f>IF(ISERROR(LOOKUP(E54,WKNrListe,Übersicht!$R$7:$R$46)),"-",LOOKUP(E54,WKNrListe,Übersicht!$R$7:$R$46))</f>
        <v>-</v>
      </c>
      <c r="AL54" s="299" t="str">
        <f t="shared" si="2"/>
        <v>-</v>
      </c>
      <c r="AM54" s="303"/>
      <c r="AN54" s="174" t="str">
        <f t="shared" si="8"/>
        <v>Leer</v>
      </c>
    </row>
    <row r="55" spans="1:40" s="174" customFormat="1" ht="15" customHeight="1">
      <c r="A55" s="63"/>
      <c r="B55" s="63"/>
      <c r="C55" s="84"/>
      <c r="D55" s="85"/>
      <c r="E55" s="62"/>
      <c r="F55" s="62"/>
      <c r="G55" s="62"/>
      <c r="H55" s="62"/>
      <c r="I55" s="62"/>
      <c r="J55" s="62"/>
      <c r="K55" s="62"/>
      <c r="L55" s="62"/>
      <c r="M55" s="62"/>
      <c r="N55" s="62"/>
      <c r="O55" s="62"/>
      <c r="P55" s="62"/>
      <c r="Q55" s="62"/>
      <c r="R55" s="62"/>
      <c r="S55" s="258"/>
      <c r="T55" s="248" t="str">
        <f t="shared" si="3"/>
        <v/>
      </c>
      <c r="U55" s="249" t="str">
        <f t="shared" si="4"/>
        <v/>
      </c>
      <c r="V55" s="294" t="str">
        <f t="shared" si="1"/>
        <v/>
      </c>
      <c r="W55" s="294" t="str">
        <f>IF(((E55="")+(F55="")),"",IF(VLOOKUP(F55,Mannschaften!$A$1:$B$54,2,FALSE)&lt;&gt;E55,"Reiter Mannschaften füllen",""))</f>
        <v/>
      </c>
      <c r="X55" s="248" t="str">
        <f>IF(ISBLANK(C55),"",IF((U55&gt;(LOOKUP(E55,WKNrListe,Übersicht!$O$7:$O$46)))+(U55&lt;(LOOKUP(E55,WKNrListe,Übersicht!$P$7:$P$46))),"JG falsch",""))</f>
        <v/>
      </c>
      <c r="Y55" s="255" t="str">
        <f>IF((A55="")*(B55=""),"",IF(ISERROR(MATCH(E55,WKNrListe,0)),"WK falsch",LOOKUP(E55,WKNrListe,Übersicht!$B$7:$B$46)))</f>
        <v/>
      </c>
      <c r="Z55" s="269" t="str">
        <f>IF(((AJ55=0)*(AH55&lt;&gt;"")*(AK55="-"))+((AJ55&lt;&gt;0)*(AH55&lt;&gt;"")*(AK55="-")),IF(AG55="X",Übersicht!$C$70,Übersicht!$C$69),"-")</f>
        <v>-</v>
      </c>
      <c r="AA55" s="252" t="str">
        <f>IF((($A55="")*($B55=""))+((MID($Y55,1,4)&lt;&gt;"Wahl")*(Deckblatt!$C$14='WK-Vorlagen'!$C$82))+(Deckblatt!$C$14&lt;&gt;'WK-Vorlagen'!$C$82),"",IF(ISERROR(MATCH(VALUE(MID(G55,1,2)),Schwierigkeitsstufen!$G$7:$G$19,0)),"Gerät falsch",LOOKUP(VALUE(MID(G55,1,2)),Schwierigkeitsstufen!$G$7:$G$19,Schwierigkeitsstufen!$H$7:$H$19)))</f>
        <v/>
      </c>
      <c r="AB55" s="250" t="str">
        <f>IF((($A55="")*($B55=""))+((MID($Y55,1,4)&lt;&gt;"Wahl")*(Deckblatt!$C$14='WK-Vorlagen'!$C$82))+(Deckblatt!$C$14&lt;&gt;'WK-Vorlagen'!$C$82),"",IF(ISERROR(MATCH(VALUE(MID(H55,1,2)),Schwierigkeitsstufen!$G$7:$G$19,0)),"Gerät falsch",LOOKUP(VALUE(MID(H55,1,2)),Schwierigkeitsstufen!$G$7:$G$19,Schwierigkeitsstufen!$H$7:$H$19)))</f>
        <v/>
      </c>
      <c r="AC55" s="250" t="str">
        <f>IF((($A55="")*($B55=""))+((MID($Y55,1,4)&lt;&gt;"Wahl")*(Deckblatt!$C$14='WK-Vorlagen'!$C$82))+(Deckblatt!$C$14&lt;&gt;'WK-Vorlagen'!$C$82),"",IF(ISERROR(MATCH(VALUE(MID(I55,1,2)),Schwierigkeitsstufen!$G$7:$G$19,0)),"Gerät falsch",LOOKUP(VALUE(MID(I55,1,2)),Schwierigkeitsstufen!$G$7:$G$19,Schwierigkeitsstufen!$H$7:$H$19)))</f>
        <v/>
      </c>
      <c r="AD55" s="251" t="str">
        <f>IF((($A55="")*($B55=""))+((MID($Y55,1,4)&lt;&gt;"Wahl")*(Deckblatt!$C$14='WK-Vorlagen'!$C$82))+(Deckblatt!$C$14&lt;&gt;'WK-Vorlagen'!$C$82),"",IF(ISERROR(MATCH(VALUE(MID(J55,1,2)),Schwierigkeitsstufen!$G$7:$G$19,0)),"Gerät falsch",LOOKUP(VALUE(MID(J55,1,2)),Schwierigkeitsstufen!$G$7:$G$19,Schwierigkeitsstufen!$H$7:$H$19)))</f>
        <v/>
      </c>
      <c r="AE55" s="211"/>
      <c r="AG55" s="221" t="str">
        <f t="shared" si="0"/>
        <v/>
      </c>
      <c r="AH55" s="222" t="str">
        <f t="shared" si="5"/>
        <v/>
      </c>
      <c r="AI55" s="220">
        <f t="shared" si="6"/>
        <v>4</v>
      </c>
      <c r="AJ55" s="222">
        <f t="shared" si="7"/>
        <v>0</v>
      </c>
      <c r="AK55" s="299" t="str">
        <f>IF(ISERROR(LOOKUP(E55,WKNrListe,Übersicht!$R$7:$R$46)),"-",LOOKUP(E55,WKNrListe,Übersicht!$R$7:$R$46))</f>
        <v>-</v>
      </c>
      <c r="AL55" s="299" t="str">
        <f t="shared" si="2"/>
        <v>-</v>
      </c>
      <c r="AM55" s="303"/>
      <c r="AN55" s="174" t="str">
        <f t="shared" si="8"/>
        <v>Leer</v>
      </c>
    </row>
    <row r="56" spans="1:40" s="174" customFormat="1" ht="15" customHeight="1">
      <c r="A56" s="63"/>
      <c r="B56" s="63"/>
      <c r="C56" s="84"/>
      <c r="D56" s="85"/>
      <c r="E56" s="62"/>
      <c r="F56" s="62"/>
      <c r="G56" s="62"/>
      <c r="H56" s="62"/>
      <c r="I56" s="62"/>
      <c r="J56" s="62"/>
      <c r="K56" s="62"/>
      <c r="L56" s="62"/>
      <c r="M56" s="62"/>
      <c r="N56" s="62"/>
      <c r="O56" s="62"/>
      <c r="P56" s="62"/>
      <c r="Q56" s="62"/>
      <c r="R56" s="62"/>
      <c r="S56" s="258"/>
      <c r="T56" s="248" t="str">
        <f t="shared" si="3"/>
        <v/>
      </c>
      <c r="U56" s="249" t="str">
        <f t="shared" si="4"/>
        <v/>
      </c>
      <c r="V56" s="294" t="str">
        <f t="shared" si="1"/>
        <v/>
      </c>
      <c r="W56" s="294" t="str">
        <f>IF(((E56="")+(F56="")),"",IF(VLOOKUP(F56,Mannschaften!$A$1:$B$54,2,FALSE)&lt;&gt;E56,"Reiter Mannschaften füllen",""))</f>
        <v/>
      </c>
      <c r="X56" s="248" t="str">
        <f>IF(ISBLANK(C56),"",IF((U56&gt;(LOOKUP(E56,WKNrListe,Übersicht!$O$7:$O$46)))+(U56&lt;(LOOKUP(E56,WKNrListe,Übersicht!$P$7:$P$46))),"JG falsch",""))</f>
        <v/>
      </c>
      <c r="Y56" s="255" t="str">
        <f>IF((A56="")*(B56=""),"",IF(ISERROR(MATCH(E56,WKNrListe,0)),"WK falsch",LOOKUP(E56,WKNrListe,Übersicht!$B$7:$B$46)))</f>
        <v/>
      </c>
      <c r="Z56" s="269" t="str">
        <f>IF(((AJ56=0)*(AH56&lt;&gt;"")*(AK56="-"))+((AJ56&lt;&gt;0)*(AH56&lt;&gt;"")*(AK56="-")),IF(AG56="X",Übersicht!$C$70,Übersicht!$C$69),"-")</f>
        <v>-</v>
      </c>
      <c r="AA56" s="252" t="str">
        <f>IF((($A56="")*($B56=""))+((MID($Y56,1,4)&lt;&gt;"Wahl")*(Deckblatt!$C$14='WK-Vorlagen'!$C$82))+(Deckblatt!$C$14&lt;&gt;'WK-Vorlagen'!$C$82),"",IF(ISERROR(MATCH(VALUE(MID(G56,1,2)),Schwierigkeitsstufen!$G$7:$G$19,0)),"Gerät falsch",LOOKUP(VALUE(MID(G56,1,2)),Schwierigkeitsstufen!$G$7:$G$19,Schwierigkeitsstufen!$H$7:$H$19)))</f>
        <v/>
      </c>
      <c r="AB56" s="250" t="str">
        <f>IF((($A56="")*($B56=""))+((MID($Y56,1,4)&lt;&gt;"Wahl")*(Deckblatt!$C$14='WK-Vorlagen'!$C$82))+(Deckblatt!$C$14&lt;&gt;'WK-Vorlagen'!$C$82),"",IF(ISERROR(MATCH(VALUE(MID(H56,1,2)),Schwierigkeitsstufen!$G$7:$G$19,0)),"Gerät falsch",LOOKUP(VALUE(MID(H56,1,2)),Schwierigkeitsstufen!$G$7:$G$19,Schwierigkeitsstufen!$H$7:$H$19)))</f>
        <v/>
      </c>
      <c r="AC56" s="250" t="str">
        <f>IF((($A56="")*($B56=""))+((MID($Y56,1,4)&lt;&gt;"Wahl")*(Deckblatt!$C$14='WK-Vorlagen'!$C$82))+(Deckblatt!$C$14&lt;&gt;'WK-Vorlagen'!$C$82),"",IF(ISERROR(MATCH(VALUE(MID(I56,1,2)),Schwierigkeitsstufen!$G$7:$G$19,0)),"Gerät falsch",LOOKUP(VALUE(MID(I56,1,2)),Schwierigkeitsstufen!$G$7:$G$19,Schwierigkeitsstufen!$H$7:$H$19)))</f>
        <v/>
      </c>
      <c r="AD56" s="251" t="str">
        <f>IF((($A56="")*($B56=""))+((MID($Y56,1,4)&lt;&gt;"Wahl")*(Deckblatt!$C$14='WK-Vorlagen'!$C$82))+(Deckblatt!$C$14&lt;&gt;'WK-Vorlagen'!$C$82),"",IF(ISERROR(MATCH(VALUE(MID(J56,1,2)),Schwierigkeitsstufen!$G$7:$G$19,0)),"Gerät falsch",LOOKUP(VALUE(MID(J56,1,2)),Schwierigkeitsstufen!$G$7:$G$19,Schwierigkeitsstufen!$H$7:$H$19)))</f>
        <v/>
      </c>
      <c r="AE56" s="211"/>
      <c r="AG56" s="221" t="str">
        <f t="shared" si="0"/>
        <v/>
      </c>
      <c r="AH56" s="222" t="str">
        <f t="shared" si="5"/>
        <v/>
      </c>
      <c r="AI56" s="220">
        <f t="shared" si="6"/>
        <v>4</v>
      </c>
      <c r="AJ56" s="222">
        <f t="shared" si="7"/>
        <v>0</v>
      </c>
      <c r="AK56" s="299" t="str">
        <f>IF(ISERROR(LOOKUP(E56,WKNrListe,Übersicht!$R$7:$R$46)),"-",LOOKUP(E56,WKNrListe,Übersicht!$R$7:$R$46))</f>
        <v>-</v>
      </c>
      <c r="AL56" s="299" t="str">
        <f t="shared" si="2"/>
        <v>-</v>
      </c>
      <c r="AM56" s="303"/>
      <c r="AN56" s="174" t="str">
        <f t="shared" si="8"/>
        <v>Leer</v>
      </c>
    </row>
    <row r="57" spans="1:40" s="174" customFormat="1" ht="15" customHeight="1">
      <c r="A57" s="63"/>
      <c r="B57" s="63"/>
      <c r="C57" s="84"/>
      <c r="D57" s="85"/>
      <c r="E57" s="62"/>
      <c r="F57" s="62"/>
      <c r="G57" s="62"/>
      <c r="H57" s="62"/>
      <c r="I57" s="62"/>
      <c r="J57" s="62"/>
      <c r="K57" s="62"/>
      <c r="L57" s="62"/>
      <c r="M57" s="62"/>
      <c r="N57" s="62"/>
      <c r="O57" s="62"/>
      <c r="P57" s="62"/>
      <c r="Q57" s="62"/>
      <c r="R57" s="62"/>
      <c r="S57" s="258"/>
      <c r="T57" s="248" t="str">
        <f t="shared" si="3"/>
        <v/>
      </c>
      <c r="U57" s="249" t="str">
        <f t="shared" si="4"/>
        <v/>
      </c>
      <c r="V57" s="294" t="str">
        <f t="shared" si="1"/>
        <v/>
      </c>
      <c r="W57" s="294" t="str">
        <f>IF(((E57="")+(F57="")),"",IF(VLOOKUP(F57,Mannschaften!$A$1:$B$54,2,FALSE)&lt;&gt;E57,"Reiter Mannschaften füllen",""))</f>
        <v/>
      </c>
      <c r="X57" s="248" t="str">
        <f>IF(ISBLANK(C57),"",IF((U57&gt;(LOOKUP(E57,WKNrListe,Übersicht!$O$7:$O$46)))+(U57&lt;(LOOKUP(E57,WKNrListe,Übersicht!$P$7:$P$46))),"JG falsch",""))</f>
        <v/>
      </c>
      <c r="Y57" s="255" t="str">
        <f>IF((A57="")*(B57=""),"",IF(ISERROR(MATCH(E57,WKNrListe,0)),"WK falsch",LOOKUP(E57,WKNrListe,Übersicht!$B$7:$B$46)))</f>
        <v/>
      </c>
      <c r="Z57" s="269" t="str">
        <f>IF(((AJ57=0)*(AH57&lt;&gt;"")*(AK57="-"))+((AJ57&lt;&gt;0)*(AH57&lt;&gt;"")*(AK57="-")),IF(AG57="X",Übersicht!$C$70,Übersicht!$C$69),"-")</f>
        <v>-</v>
      </c>
      <c r="AA57" s="252" t="str">
        <f>IF((($A57="")*($B57=""))+((MID($Y57,1,4)&lt;&gt;"Wahl")*(Deckblatt!$C$14='WK-Vorlagen'!$C$82))+(Deckblatt!$C$14&lt;&gt;'WK-Vorlagen'!$C$82),"",IF(ISERROR(MATCH(VALUE(MID(G57,1,2)),Schwierigkeitsstufen!$G$7:$G$19,0)),"Gerät falsch",LOOKUP(VALUE(MID(G57,1,2)),Schwierigkeitsstufen!$G$7:$G$19,Schwierigkeitsstufen!$H$7:$H$19)))</f>
        <v/>
      </c>
      <c r="AB57" s="250" t="str">
        <f>IF((($A57="")*($B57=""))+((MID($Y57,1,4)&lt;&gt;"Wahl")*(Deckblatt!$C$14='WK-Vorlagen'!$C$82))+(Deckblatt!$C$14&lt;&gt;'WK-Vorlagen'!$C$82),"",IF(ISERROR(MATCH(VALUE(MID(H57,1,2)),Schwierigkeitsstufen!$G$7:$G$19,0)),"Gerät falsch",LOOKUP(VALUE(MID(H57,1,2)),Schwierigkeitsstufen!$G$7:$G$19,Schwierigkeitsstufen!$H$7:$H$19)))</f>
        <v/>
      </c>
      <c r="AC57" s="250" t="str">
        <f>IF((($A57="")*($B57=""))+((MID($Y57,1,4)&lt;&gt;"Wahl")*(Deckblatt!$C$14='WK-Vorlagen'!$C$82))+(Deckblatt!$C$14&lt;&gt;'WK-Vorlagen'!$C$82),"",IF(ISERROR(MATCH(VALUE(MID(I57,1,2)),Schwierigkeitsstufen!$G$7:$G$19,0)),"Gerät falsch",LOOKUP(VALUE(MID(I57,1,2)),Schwierigkeitsstufen!$G$7:$G$19,Schwierigkeitsstufen!$H$7:$H$19)))</f>
        <v/>
      </c>
      <c r="AD57" s="251" t="str">
        <f>IF((($A57="")*($B57=""))+((MID($Y57,1,4)&lt;&gt;"Wahl")*(Deckblatt!$C$14='WK-Vorlagen'!$C$82))+(Deckblatt!$C$14&lt;&gt;'WK-Vorlagen'!$C$82),"",IF(ISERROR(MATCH(VALUE(MID(J57,1,2)),Schwierigkeitsstufen!$G$7:$G$19,0)),"Gerät falsch",LOOKUP(VALUE(MID(J57,1,2)),Schwierigkeitsstufen!$G$7:$G$19,Schwierigkeitsstufen!$H$7:$H$19)))</f>
        <v/>
      </c>
      <c r="AE57" s="211"/>
      <c r="AG57" s="221" t="str">
        <f t="shared" si="0"/>
        <v/>
      </c>
      <c r="AH57" s="222" t="str">
        <f t="shared" si="5"/>
        <v/>
      </c>
      <c r="AI57" s="220">
        <f t="shared" si="6"/>
        <v>4</v>
      </c>
      <c r="AJ57" s="222">
        <f t="shared" si="7"/>
        <v>0</v>
      </c>
      <c r="AK57" s="299" t="str">
        <f>IF(ISERROR(LOOKUP(E57,WKNrListe,Übersicht!$R$7:$R$46)),"-",LOOKUP(E57,WKNrListe,Übersicht!$R$7:$R$46))</f>
        <v>-</v>
      </c>
      <c r="AL57" s="299" t="str">
        <f t="shared" si="2"/>
        <v>-</v>
      </c>
      <c r="AM57" s="303"/>
      <c r="AN57" s="174" t="str">
        <f t="shared" si="8"/>
        <v>Leer</v>
      </c>
    </row>
    <row r="58" spans="1:40" s="174" customFormat="1" ht="15" customHeight="1">
      <c r="A58" s="63"/>
      <c r="B58" s="63"/>
      <c r="C58" s="84"/>
      <c r="D58" s="85"/>
      <c r="E58" s="62"/>
      <c r="F58" s="62"/>
      <c r="G58" s="62"/>
      <c r="H58" s="62"/>
      <c r="I58" s="62"/>
      <c r="J58" s="62"/>
      <c r="K58" s="62"/>
      <c r="L58" s="62"/>
      <c r="M58" s="62"/>
      <c r="N58" s="62"/>
      <c r="O58" s="62"/>
      <c r="P58" s="62"/>
      <c r="Q58" s="62"/>
      <c r="R58" s="62"/>
      <c r="S58" s="258"/>
      <c r="T58" s="248" t="str">
        <f t="shared" si="3"/>
        <v/>
      </c>
      <c r="U58" s="249" t="str">
        <f t="shared" si="4"/>
        <v/>
      </c>
      <c r="V58" s="294" t="str">
        <f t="shared" si="1"/>
        <v/>
      </c>
      <c r="W58" s="294" t="str">
        <f>IF(((E58="")+(F58="")),"",IF(VLOOKUP(F58,Mannschaften!$A$1:$B$54,2,FALSE)&lt;&gt;E58,"Reiter Mannschaften füllen",""))</f>
        <v/>
      </c>
      <c r="X58" s="248" t="str">
        <f>IF(ISBLANK(C58),"",IF((U58&gt;(LOOKUP(E58,WKNrListe,Übersicht!$O$7:$O$46)))+(U58&lt;(LOOKUP(E58,WKNrListe,Übersicht!$P$7:$P$46))),"JG falsch",""))</f>
        <v/>
      </c>
      <c r="Y58" s="255" t="str">
        <f>IF((A58="")*(B58=""),"",IF(ISERROR(MATCH(E58,WKNrListe,0)),"WK falsch",LOOKUP(E58,WKNrListe,Übersicht!$B$7:$B$46)))</f>
        <v/>
      </c>
      <c r="Z58" s="269" t="str">
        <f>IF(((AJ58=0)*(AH58&lt;&gt;"")*(AK58="-"))+((AJ58&lt;&gt;0)*(AH58&lt;&gt;"")*(AK58="-")),IF(AG58="X",Übersicht!$C$70,Übersicht!$C$69),"-")</f>
        <v>-</v>
      </c>
      <c r="AA58" s="252" t="str">
        <f>IF((($A58="")*($B58=""))+((MID($Y58,1,4)&lt;&gt;"Wahl")*(Deckblatt!$C$14='WK-Vorlagen'!$C$82))+(Deckblatt!$C$14&lt;&gt;'WK-Vorlagen'!$C$82),"",IF(ISERROR(MATCH(VALUE(MID(G58,1,2)),Schwierigkeitsstufen!$G$7:$G$19,0)),"Gerät falsch",LOOKUP(VALUE(MID(G58,1,2)),Schwierigkeitsstufen!$G$7:$G$19,Schwierigkeitsstufen!$H$7:$H$19)))</f>
        <v/>
      </c>
      <c r="AB58" s="250" t="str">
        <f>IF((($A58="")*($B58=""))+((MID($Y58,1,4)&lt;&gt;"Wahl")*(Deckblatt!$C$14='WK-Vorlagen'!$C$82))+(Deckblatt!$C$14&lt;&gt;'WK-Vorlagen'!$C$82),"",IF(ISERROR(MATCH(VALUE(MID(H58,1,2)),Schwierigkeitsstufen!$G$7:$G$19,0)),"Gerät falsch",LOOKUP(VALUE(MID(H58,1,2)),Schwierigkeitsstufen!$G$7:$G$19,Schwierigkeitsstufen!$H$7:$H$19)))</f>
        <v/>
      </c>
      <c r="AC58" s="250" t="str">
        <f>IF((($A58="")*($B58=""))+((MID($Y58,1,4)&lt;&gt;"Wahl")*(Deckblatt!$C$14='WK-Vorlagen'!$C$82))+(Deckblatt!$C$14&lt;&gt;'WK-Vorlagen'!$C$82),"",IF(ISERROR(MATCH(VALUE(MID(I58,1,2)),Schwierigkeitsstufen!$G$7:$G$19,0)),"Gerät falsch",LOOKUP(VALUE(MID(I58,1,2)),Schwierigkeitsstufen!$G$7:$G$19,Schwierigkeitsstufen!$H$7:$H$19)))</f>
        <v/>
      </c>
      <c r="AD58" s="251" t="str">
        <f>IF((($A58="")*($B58=""))+((MID($Y58,1,4)&lt;&gt;"Wahl")*(Deckblatt!$C$14='WK-Vorlagen'!$C$82))+(Deckblatt!$C$14&lt;&gt;'WK-Vorlagen'!$C$82),"",IF(ISERROR(MATCH(VALUE(MID(J58,1,2)),Schwierigkeitsstufen!$G$7:$G$19,0)),"Gerät falsch",LOOKUP(VALUE(MID(J58,1,2)),Schwierigkeitsstufen!$G$7:$G$19,Schwierigkeitsstufen!$H$7:$H$19)))</f>
        <v/>
      </c>
      <c r="AE58" s="211"/>
      <c r="AG58" s="221" t="str">
        <f t="shared" si="0"/>
        <v/>
      </c>
      <c r="AH58" s="222" t="str">
        <f t="shared" si="5"/>
        <v/>
      </c>
      <c r="AI58" s="220">
        <f t="shared" si="6"/>
        <v>4</v>
      </c>
      <c r="AJ58" s="222">
        <f t="shared" si="7"/>
        <v>0</v>
      </c>
      <c r="AK58" s="299" t="str">
        <f>IF(ISERROR(LOOKUP(E58,WKNrListe,Übersicht!$R$7:$R$46)),"-",LOOKUP(E58,WKNrListe,Übersicht!$R$7:$R$46))</f>
        <v>-</v>
      </c>
      <c r="AL58" s="299" t="str">
        <f t="shared" si="2"/>
        <v>-</v>
      </c>
      <c r="AM58" s="303"/>
      <c r="AN58" s="174" t="str">
        <f t="shared" si="8"/>
        <v>Leer</v>
      </c>
    </row>
    <row r="59" spans="1:40" s="174" customFormat="1" ht="15" customHeight="1">
      <c r="A59" s="63"/>
      <c r="B59" s="63"/>
      <c r="C59" s="84"/>
      <c r="D59" s="85"/>
      <c r="E59" s="62"/>
      <c r="F59" s="62"/>
      <c r="G59" s="62"/>
      <c r="H59" s="62"/>
      <c r="I59" s="62"/>
      <c r="J59" s="62"/>
      <c r="K59" s="62"/>
      <c r="L59" s="62"/>
      <c r="M59" s="62"/>
      <c r="N59" s="62"/>
      <c r="O59" s="62"/>
      <c r="P59" s="62"/>
      <c r="Q59" s="62"/>
      <c r="R59" s="62"/>
      <c r="S59" s="258"/>
      <c r="T59" s="248" t="str">
        <f t="shared" si="3"/>
        <v/>
      </c>
      <c r="U59" s="249" t="str">
        <f t="shared" si="4"/>
        <v/>
      </c>
      <c r="V59" s="294" t="str">
        <f t="shared" si="1"/>
        <v/>
      </c>
      <c r="W59" s="294" t="str">
        <f>IF(((E59="")+(F59="")),"",IF(VLOOKUP(F59,Mannschaften!$A$1:$B$54,2,FALSE)&lt;&gt;E59,"Reiter Mannschaften füllen",""))</f>
        <v/>
      </c>
      <c r="X59" s="248" t="str">
        <f>IF(ISBLANK(C59),"",IF((U59&gt;(LOOKUP(E59,WKNrListe,Übersicht!$O$7:$O$46)))+(U59&lt;(LOOKUP(E59,WKNrListe,Übersicht!$P$7:$P$46))),"JG falsch",""))</f>
        <v/>
      </c>
      <c r="Y59" s="255" t="str">
        <f>IF((A59="")*(B59=""),"",IF(ISERROR(MATCH(E59,WKNrListe,0)),"WK falsch",LOOKUP(E59,WKNrListe,Übersicht!$B$7:$B$46)))</f>
        <v/>
      </c>
      <c r="Z59" s="269" t="str">
        <f>IF(((AJ59=0)*(AH59&lt;&gt;"")*(AK59="-"))+((AJ59&lt;&gt;0)*(AH59&lt;&gt;"")*(AK59="-")),IF(AG59="X",Übersicht!$C$70,Übersicht!$C$69),"-")</f>
        <v>-</v>
      </c>
      <c r="AA59" s="252" t="str">
        <f>IF((($A59="")*($B59=""))+((MID($Y59,1,4)&lt;&gt;"Wahl")*(Deckblatt!$C$14='WK-Vorlagen'!$C$82))+(Deckblatt!$C$14&lt;&gt;'WK-Vorlagen'!$C$82),"",IF(ISERROR(MATCH(VALUE(MID(G59,1,2)),Schwierigkeitsstufen!$G$7:$G$19,0)),"Gerät falsch",LOOKUP(VALUE(MID(G59,1,2)),Schwierigkeitsstufen!$G$7:$G$19,Schwierigkeitsstufen!$H$7:$H$19)))</f>
        <v/>
      </c>
      <c r="AB59" s="250" t="str">
        <f>IF((($A59="")*($B59=""))+((MID($Y59,1,4)&lt;&gt;"Wahl")*(Deckblatt!$C$14='WK-Vorlagen'!$C$82))+(Deckblatt!$C$14&lt;&gt;'WK-Vorlagen'!$C$82),"",IF(ISERROR(MATCH(VALUE(MID(H59,1,2)),Schwierigkeitsstufen!$G$7:$G$19,0)),"Gerät falsch",LOOKUP(VALUE(MID(H59,1,2)),Schwierigkeitsstufen!$G$7:$G$19,Schwierigkeitsstufen!$H$7:$H$19)))</f>
        <v/>
      </c>
      <c r="AC59" s="250" t="str">
        <f>IF((($A59="")*($B59=""))+((MID($Y59,1,4)&lt;&gt;"Wahl")*(Deckblatt!$C$14='WK-Vorlagen'!$C$82))+(Deckblatt!$C$14&lt;&gt;'WK-Vorlagen'!$C$82),"",IF(ISERROR(MATCH(VALUE(MID(I59,1,2)),Schwierigkeitsstufen!$G$7:$G$19,0)),"Gerät falsch",LOOKUP(VALUE(MID(I59,1,2)),Schwierigkeitsstufen!$G$7:$G$19,Schwierigkeitsstufen!$H$7:$H$19)))</f>
        <v/>
      </c>
      <c r="AD59" s="251" t="str">
        <f>IF((($A59="")*($B59=""))+((MID($Y59,1,4)&lt;&gt;"Wahl")*(Deckblatt!$C$14='WK-Vorlagen'!$C$82))+(Deckblatt!$C$14&lt;&gt;'WK-Vorlagen'!$C$82),"",IF(ISERROR(MATCH(VALUE(MID(J59,1,2)),Schwierigkeitsstufen!$G$7:$G$19,0)),"Gerät falsch",LOOKUP(VALUE(MID(J59,1,2)),Schwierigkeitsstufen!$G$7:$G$19,Schwierigkeitsstufen!$H$7:$H$19)))</f>
        <v/>
      </c>
      <c r="AE59" s="211"/>
      <c r="AG59" s="221" t="str">
        <f t="shared" si="0"/>
        <v/>
      </c>
      <c r="AH59" s="222" t="str">
        <f t="shared" si="5"/>
        <v/>
      </c>
      <c r="AI59" s="220">
        <f t="shared" si="6"/>
        <v>4</v>
      </c>
      <c r="AJ59" s="222">
        <f t="shared" si="7"/>
        <v>0</v>
      </c>
      <c r="AK59" s="299" t="str">
        <f>IF(ISERROR(LOOKUP(E59,WKNrListe,Übersicht!$R$7:$R$46)),"-",LOOKUP(E59,WKNrListe,Übersicht!$R$7:$R$46))</f>
        <v>-</v>
      </c>
      <c r="AL59" s="299" t="str">
        <f t="shared" si="2"/>
        <v>-</v>
      </c>
      <c r="AM59" s="303"/>
      <c r="AN59" s="174" t="str">
        <f t="shared" si="8"/>
        <v>Leer</v>
      </c>
    </row>
    <row r="60" spans="1:40" s="174" customFormat="1" ht="15" customHeight="1">
      <c r="A60" s="63"/>
      <c r="B60" s="63"/>
      <c r="C60" s="84"/>
      <c r="D60" s="85"/>
      <c r="E60" s="62"/>
      <c r="F60" s="62"/>
      <c r="G60" s="62"/>
      <c r="H60" s="62"/>
      <c r="I60" s="62"/>
      <c r="J60" s="62"/>
      <c r="K60" s="62"/>
      <c r="L60" s="62"/>
      <c r="M60" s="62"/>
      <c r="N60" s="62"/>
      <c r="O60" s="62"/>
      <c r="P60" s="62"/>
      <c r="Q60" s="62"/>
      <c r="R60" s="62"/>
      <c r="S60" s="258"/>
      <c r="T60" s="248" t="str">
        <f t="shared" si="3"/>
        <v/>
      </c>
      <c r="U60" s="249" t="str">
        <f t="shared" si="4"/>
        <v/>
      </c>
      <c r="V60" s="294" t="str">
        <f t="shared" si="1"/>
        <v/>
      </c>
      <c r="W60" s="294" t="str">
        <f>IF(((E60="")+(F60="")),"",IF(VLOOKUP(F60,Mannschaften!$A$1:$B$54,2,FALSE)&lt;&gt;E60,"Reiter Mannschaften füllen",""))</f>
        <v/>
      </c>
      <c r="X60" s="248" t="str">
        <f>IF(ISBLANK(C60),"",IF((U60&gt;(LOOKUP(E60,WKNrListe,Übersicht!$O$7:$O$46)))+(U60&lt;(LOOKUP(E60,WKNrListe,Übersicht!$P$7:$P$46))),"JG falsch",""))</f>
        <v/>
      </c>
      <c r="Y60" s="255" t="str">
        <f>IF((A60="")*(B60=""),"",IF(ISERROR(MATCH(E60,WKNrListe,0)),"WK falsch",LOOKUP(E60,WKNrListe,Übersicht!$B$7:$B$46)))</f>
        <v/>
      </c>
      <c r="Z60" s="269" t="str">
        <f>IF(((AJ60=0)*(AH60&lt;&gt;"")*(AK60="-"))+((AJ60&lt;&gt;0)*(AH60&lt;&gt;"")*(AK60="-")),IF(AG60="X",Übersicht!$C$70,Übersicht!$C$69),"-")</f>
        <v>-</v>
      </c>
      <c r="AA60" s="252" t="str">
        <f>IF((($A60="")*($B60=""))+((MID($Y60,1,4)&lt;&gt;"Wahl")*(Deckblatt!$C$14='WK-Vorlagen'!$C$82))+(Deckblatt!$C$14&lt;&gt;'WK-Vorlagen'!$C$82),"",IF(ISERROR(MATCH(VALUE(MID(G60,1,2)),Schwierigkeitsstufen!$G$7:$G$19,0)),"Gerät falsch",LOOKUP(VALUE(MID(G60,1,2)),Schwierigkeitsstufen!$G$7:$G$19,Schwierigkeitsstufen!$H$7:$H$19)))</f>
        <v/>
      </c>
      <c r="AB60" s="250" t="str">
        <f>IF((($A60="")*($B60=""))+((MID($Y60,1,4)&lt;&gt;"Wahl")*(Deckblatt!$C$14='WK-Vorlagen'!$C$82))+(Deckblatt!$C$14&lt;&gt;'WK-Vorlagen'!$C$82),"",IF(ISERROR(MATCH(VALUE(MID(H60,1,2)),Schwierigkeitsstufen!$G$7:$G$19,0)),"Gerät falsch",LOOKUP(VALUE(MID(H60,1,2)),Schwierigkeitsstufen!$G$7:$G$19,Schwierigkeitsstufen!$H$7:$H$19)))</f>
        <v/>
      </c>
      <c r="AC60" s="250" t="str">
        <f>IF((($A60="")*($B60=""))+((MID($Y60,1,4)&lt;&gt;"Wahl")*(Deckblatt!$C$14='WK-Vorlagen'!$C$82))+(Deckblatt!$C$14&lt;&gt;'WK-Vorlagen'!$C$82),"",IF(ISERROR(MATCH(VALUE(MID(I60,1,2)),Schwierigkeitsstufen!$G$7:$G$19,0)),"Gerät falsch",LOOKUP(VALUE(MID(I60,1,2)),Schwierigkeitsstufen!$G$7:$G$19,Schwierigkeitsstufen!$H$7:$H$19)))</f>
        <v/>
      </c>
      <c r="AD60" s="251" t="str">
        <f>IF((($A60="")*($B60=""))+((MID($Y60,1,4)&lt;&gt;"Wahl")*(Deckblatt!$C$14='WK-Vorlagen'!$C$82))+(Deckblatt!$C$14&lt;&gt;'WK-Vorlagen'!$C$82),"",IF(ISERROR(MATCH(VALUE(MID(J60,1,2)),Schwierigkeitsstufen!$G$7:$G$19,0)),"Gerät falsch",LOOKUP(VALUE(MID(J60,1,2)),Schwierigkeitsstufen!$G$7:$G$19,Schwierigkeitsstufen!$H$7:$H$19)))</f>
        <v/>
      </c>
      <c r="AE60" s="211"/>
      <c r="AG60" s="221" t="str">
        <f t="shared" si="0"/>
        <v/>
      </c>
      <c r="AH60" s="222" t="str">
        <f t="shared" si="5"/>
        <v/>
      </c>
      <c r="AI60" s="220">
        <f t="shared" si="6"/>
        <v>4</v>
      </c>
      <c r="AJ60" s="222">
        <f t="shared" si="7"/>
        <v>0</v>
      </c>
      <c r="AK60" s="299" t="str">
        <f>IF(ISERROR(LOOKUP(E60,WKNrListe,Übersicht!$R$7:$R$46)),"-",LOOKUP(E60,WKNrListe,Übersicht!$R$7:$R$46))</f>
        <v>-</v>
      </c>
      <c r="AL60" s="299" t="str">
        <f t="shared" si="2"/>
        <v>-</v>
      </c>
      <c r="AM60" s="303"/>
      <c r="AN60" s="174" t="str">
        <f t="shared" si="8"/>
        <v>Leer</v>
      </c>
    </row>
    <row r="61" spans="1:40" s="174" customFormat="1" ht="15" customHeight="1">
      <c r="A61" s="63"/>
      <c r="B61" s="63"/>
      <c r="C61" s="84"/>
      <c r="D61" s="85"/>
      <c r="E61" s="62"/>
      <c r="F61" s="62"/>
      <c r="G61" s="62"/>
      <c r="H61" s="62"/>
      <c r="I61" s="62"/>
      <c r="J61" s="62"/>
      <c r="K61" s="62"/>
      <c r="L61" s="62"/>
      <c r="M61" s="62"/>
      <c r="N61" s="62"/>
      <c r="O61" s="62"/>
      <c r="P61" s="62"/>
      <c r="Q61" s="62"/>
      <c r="R61" s="62"/>
      <c r="S61" s="258"/>
      <c r="T61" s="248" t="str">
        <f t="shared" si="3"/>
        <v/>
      </c>
      <c r="U61" s="249" t="str">
        <f t="shared" si="4"/>
        <v/>
      </c>
      <c r="V61" s="294" t="str">
        <f t="shared" si="1"/>
        <v/>
      </c>
      <c r="W61" s="294" t="str">
        <f>IF(((E61="")+(F61="")),"",IF(VLOOKUP(F61,Mannschaften!$A$1:$B$54,2,FALSE)&lt;&gt;E61,"Reiter Mannschaften füllen",""))</f>
        <v/>
      </c>
      <c r="X61" s="248" t="str">
        <f>IF(ISBLANK(C61),"",IF((U61&gt;(LOOKUP(E61,WKNrListe,Übersicht!$O$7:$O$46)))+(U61&lt;(LOOKUP(E61,WKNrListe,Übersicht!$P$7:$P$46))),"JG falsch",""))</f>
        <v/>
      </c>
      <c r="Y61" s="255" t="str">
        <f>IF((A61="")*(B61=""),"",IF(ISERROR(MATCH(E61,WKNrListe,0)),"WK falsch",LOOKUP(E61,WKNrListe,Übersicht!$B$7:$B$46)))</f>
        <v/>
      </c>
      <c r="Z61" s="269" t="str">
        <f>IF(((AJ61=0)*(AH61&lt;&gt;"")*(AK61="-"))+((AJ61&lt;&gt;0)*(AH61&lt;&gt;"")*(AK61="-")),IF(AG61="X",Übersicht!$C$70,Übersicht!$C$69),"-")</f>
        <v>-</v>
      </c>
      <c r="AA61" s="252" t="str">
        <f>IF((($A61="")*($B61=""))+((MID($Y61,1,4)&lt;&gt;"Wahl")*(Deckblatt!$C$14='WK-Vorlagen'!$C$82))+(Deckblatt!$C$14&lt;&gt;'WK-Vorlagen'!$C$82),"",IF(ISERROR(MATCH(VALUE(MID(G61,1,2)),Schwierigkeitsstufen!$G$7:$G$19,0)),"Gerät falsch",LOOKUP(VALUE(MID(G61,1,2)),Schwierigkeitsstufen!$G$7:$G$19,Schwierigkeitsstufen!$H$7:$H$19)))</f>
        <v/>
      </c>
      <c r="AB61" s="250" t="str">
        <f>IF((($A61="")*($B61=""))+((MID($Y61,1,4)&lt;&gt;"Wahl")*(Deckblatt!$C$14='WK-Vorlagen'!$C$82))+(Deckblatt!$C$14&lt;&gt;'WK-Vorlagen'!$C$82),"",IF(ISERROR(MATCH(VALUE(MID(H61,1,2)),Schwierigkeitsstufen!$G$7:$G$19,0)),"Gerät falsch",LOOKUP(VALUE(MID(H61,1,2)),Schwierigkeitsstufen!$G$7:$G$19,Schwierigkeitsstufen!$H$7:$H$19)))</f>
        <v/>
      </c>
      <c r="AC61" s="250" t="str">
        <f>IF((($A61="")*($B61=""))+((MID($Y61,1,4)&lt;&gt;"Wahl")*(Deckblatt!$C$14='WK-Vorlagen'!$C$82))+(Deckblatt!$C$14&lt;&gt;'WK-Vorlagen'!$C$82),"",IF(ISERROR(MATCH(VALUE(MID(I61,1,2)),Schwierigkeitsstufen!$G$7:$G$19,0)),"Gerät falsch",LOOKUP(VALUE(MID(I61,1,2)),Schwierigkeitsstufen!$G$7:$G$19,Schwierigkeitsstufen!$H$7:$H$19)))</f>
        <v/>
      </c>
      <c r="AD61" s="251" t="str">
        <f>IF((($A61="")*($B61=""))+((MID($Y61,1,4)&lt;&gt;"Wahl")*(Deckblatt!$C$14='WK-Vorlagen'!$C$82))+(Deckblatt!$C$14&lt;&gt;'WK-Vorlagen'!$C$82),"",IF(ISERROR(MATCH(VALUE(MID(J61,1,2)),Schwierigkeitsstufen!$G$7:$G$19,0)),"Gerät falsch",LOOKUP(VALUE(MID(J61,1,2)),Schwierigkeitsstufen!$G$7:$G$19,Schwierigkeitsstufen!$H$7:$H$19)))</f>
        <v/>
      </c>
      <c r="AE61" s="211"/>
      <c r="AG61" s="221" t="str">
        <f t="shared" si="0"/>
        <v/>
      </c>
      <c r="AH61" s="222" t="str">
        <f t="shared" si="5"/>
        <v/>
      </c>
      <c r="AI61" s="220">
        <f t="shared" si="6"/>
        <v>4</v>
      </c>
      <c r="AJ61" s="222">
        <f t="shared" si="7"/>
        <v>0</v>
      </c>
      <c r="AK61" s="299" t="str">
        <f>IF(ISERROR(LOOKUP(E61,WKNrListe,Übersicht!$R$7:$R$46)),"-",LOOKUP(E61,WKNrListe,Übersicht!$R$7:$R$46))</f>
        <v>-</v>
      </c>
      <c r="AL61" s="299" t="str">
        <f t="shared" si="2"/>
        <v>-</v>
      </c>
      <c r="AM61" s="303"/>
      <c r="AN61" s="174" t="str">
        <f t="shared" si="8"/>
        <v>Leer</v>
      </c>
    </row>
    <row r="62" spans="1:40" s="174" customFormat="1" ht="15" customHeight="1">
      <c r="A62" s="63"/>
      <c r="B62" s="63"/>
      <c r="C62" s="84"/>
      <c r="D62" s="85"/>
      <c r="E62" s="62"/>
      <c r="F62" s="62"/>
      <c r="G62" s="62"/>
      <c r="H62" s="62"/>
      <c r="I62" s="62"/>
      <c r="J62" s="62"/>
      <c r="K62" s="62"/>
      <c r="L62" s="62"/>
      <c r="M62" s="62"/>
      <c r="N62" s="62"/>
      <c r="O62" s="62"/>
      <c r="P62" s="62"/>
      <c r="Q62" s="62"/>
      <c r="R62" s="62"/>
      <c r="S62" s="258"/>
      <c r="T62" s="248" t="str">
        <f t="shared" si="3"/>
        <v/>
      </c>
      <c r="U62" s="249" t="str">
        <f t="shared" si="4"/>
        <v/>
      </c>
      <c r="V62" s="294" t="str">
        <f t="shared" si="1"/>
        <v/>
      </c>
      <c r="W62" s="294" t="str">
        <f>IF(((E62="")+(F62="")),"",IF(VLOOKUP(F62,Mannschaften!$A$1:$B$54,2,FALSE)&lt;&gt;E62,"Reiter Mannschaften füllen",""))</f>
        <v/>
      </c>
      <c r="X62" s="248" t="str">
        <f>IF(ISBLANK(C62),"",IF((U62&gt;(LOOKUP(E62,WKNrListe,Übersicht!$O$7:$O$46)))+(U62&lt;(LOOKUP(E62,WKNrListe,Übersicht!$P$7:$P$46))),"JG falsch",""))</f>
        <v/>
      </c>
      <c r="Y62" s="255" t="str">
        <f>IF((A62="")*(B62=""),"",IF(ISERROR(MATCH(E62,WKNrListe,0)),"WK falsch",LOOKUP(E62,WKNrListe,Übersicht!$B$7:$B$46)))</f>
        <v/>
      </c>
      <c r="Z62" s="269" t="str">
        <f>IF(((AJ62=0)*(AH62&lt;&gt;"")*(AK62="-"))+((AJ62&lt;&gt;0)*(AH62&lt;&gt;"")*(AK62="-")),IF(AG62="X",Übersicht!$C$70,Übersicht!$C$69),"-")</f>
        <v>-</v>
      </c>
      <c r="AA62" s="252" t="str">
        <f>IF((($A62="")*($B62=""))+((MID($Y62,1,4)&lt;&gt;"Wahl")*(Deckblatt!$C$14='WK-Vorlagen'!$C$82))+(Deckblatt!$C$14&lt;&gt;'WK-Vorlagen'!$C$82),"",IF(ISERROR(MATCH(VALUE(MID(G62,1,2)),Schwierigkeitsstufen!$G$7:$G$19,0)),"Gerät falsch",LOOKUP(VALUE(MID(G62,1,2)),Schwierigkeitsstufen!$G$7:$G$19,Schwierigkeitsstufen!$H$7:$H$19)))</f>
        <v/>
      </c>
      <c r="AB62" s="250" t="str">
        <f>IF((($A62="")*($B62=""))+((MID($Y62,1,4)&lt;&gt;"Wahl")*(Deckblatt!$C$14='WK-Vorlagen'!$C$82))+(Deckblatt!$C$14&lt;&gt;'WK-Vorlagen'!$C$82),"",IF(ISERROR(MATCH(VALUE(MID(H62,1,2)),Schwierigkeitsstufen!$G$7:$G$19,0)),"Gerät falsch",LOOKUP(VALUE(MID(H62,1,2)),Schwierigkeitsstufen!$G$7:$G$19,Schwierigkeitsstufen!$H$7:$H$19)))</f>
        <v/>
      </c>
      <c r="AC62" s="250" t="str">
        <f>IF((($A62="")*($B62=""))+((MID($Y62,1,4)&lt;&gt;"Wahl")*(Deckblatt!$C$14='WK-Vorlagen'!$C$82))+(Deckblatt!$C$14&lt;&gt;'WK-Vorlagen'!$C$82),"",IF(ISERROR(MATCH(VALUE(MID(I62,1,2)),Schwierigkeitsstufen!$G$7:$G$19,0)),"Gerät falsch",LOOKUP(VALUE(MID(I62,1,2)),Schwierigkeitsstufen!$G$7:$G$19,Schwierigkeitsstufen!$H$7:$H$19)))</f>
        <v/>
      </c>
      <c r="AD62" s="251" t="str">
        <f>IF((($A62="")*($B62=""))+((MID($Y62,1,4)&lt;&gt;"Wahl")*(Deckblatt!$C$14='WK-Vorlagen'!$C$82))+(Deckblatt!$C$14&lt;&gt;'WK-Vorlagen'!$C$82),"",IF(ISERROR(MATCH(VALUE(MID(J62,1,2)),Schwierigkeitsstufen!$G$7:$G$19,0)),"Gerät falsch",LOOKUP(VALUE(MID(J62,1,2)),Schwierigkeitsstufen!$G$7:$G$19,Schwierigkeitsstufen!$H$7:$H$19)))</f>
        <v/>
      </c>
      <c r="AE62" s="211"/>
      <c r="AG62" s="221" t="str">
        <f t="shared" si="0"/>
        <v/>
      </c>
      <c r="AH62" s="222" t="str">
        <f t="shared" si="5"/>
        <v/>
      </c>
      <c r="AI62" s="220">
        <f t="shared" si="6"/>
        <v>4</v>
      </c>
      <c r="AJ62" s="222">
        <f t="shared" si="7"/>
        <v>0</v>
      </c>
      <c r="AK62" s="299" t="str">
        <f>IF(ISERROR(LOOKUP(E62,WKNrListe,Übersicht!$R$7:$R$46)),"-",LOOKUP(E62,WKNrListe,Übersicht!$R$7:$R$46))</f>
        <v>-</v>
      </c>
      <c r="AL62" s="299" t="str">
        <f t="shared" si="2"/>
        <v>-</v>
      </c>
      <c r="AM62" s="303"/>
      <c r="AN62" s="174" t="str">
        <f t="shared" si="8"/>
        <v>Leer</v>
      </c>
    </row>
    <row r="63" spans="1:40" s="174" customFormat="1" ht="15" customHeight="1">
      <c r="A63" s="63"/>
      <c r="B63" s="63"/>
      <c r="C63" s="84"/>
      <c r="D63" s="85"/>
      <c r="E63" s="62"/>
      <c r="F63" s="62"/>
      <c r="G63" s="62"/>
      <c r="H63" s="62"/>
      <c r="I63" s="62"/>
      <c r="J63" s="62"/>
      <c r="K63" s="62"/>
      <c r="L63" s="62"/>
      <c r="M63" s="62"/>
      <c r="N63" s="62"/>
      <c r="O63" s="62"/>
      <c r="P63" s="62"/>
      <c r="Q63" s="62"/>
      <c r="R63" s="62"/>
      <c r="S63" s="258"/>
      <c r="T63" s="248" t="str">
        <f t="shared" si="3"/>
        <v/>
      </c>
      <c r="U63" s="249" t="str">
        <f t="shared" si="4"/>
        <v/>
      </c>
      <c r="V63" s="294" t="str">
        <f t="shared" si="1"/>
        <v/>
      </c>
      <c r="W63" s="294" t="str">
        <f>IF(((E63="")+(F63="")),"",IF(VLOOKUP(F63,Mannschaften!$A$1:$B$54,2,FALSE)&lt;&gt;E63,"Reiter Mannschaften füllen",""))</f>
        <v/>
      </c>
      <c r="X63" s="248" t="str">
        <f>IF(ISBLANK(C63),"",IF((U63&gt;(LOOKUP(E63,WKNrListe,Übersicht!$O$7:$O$46)))+(U63&lt;(LOOKUP(E63,WKNrListe,Übersicht!$P$7:$P$46))),"JG falsch",""))</f>
        <v/>
      </c>
      <c r="Y63" s="255" t="str">
        <f>IF((A63="")*(B63=""),"",IF(ISERROR(MATCH(E63,WKNrListe,0)),"WK falsch",LOOKUP(E63,WKNrListe,Übersicht!$B$7:$B$46)))</f>
        <v/>
      </c>
      <c r="Z63" s="269" t="str">
        <f>IF(((AJ63=0)*(AH63&lt;&gt;"")*(AK63="-"))+((AJ63&lt;&gt;0)*(AH63&lt;&gt;"")*(AK63="-")),IF(AG63="X",Übersicht!$C$70,Übersicht!$C$69),"-")</f>
        <v>-</v>
      </c>
      <c r="AA63" s="252" t="str">
        <f>IF((($A63="")*($B63=""))+((MID($Y63,1,4)&lt;&gt;"Wahl")*(Deckblatt!$C$14='WK-Vorlagen'!$C$82))+(Deckblatt!$C$14&lt;&gt;'WK-Vorlagen'!$C$82),"",IF(ISERROR(MATCH(VALUE(MID(G63,1,2)),Schwierigkeitsstufen!$G$7:$G$19,0)),"Gerät falsch",LOOKUP(VALUE(MID(G63,1,2)),Schwierigkeitsstufen!$G$7:$G$19,Schwierigkeitsstufen!$H$7:$H$19)))</f>
        <v/>
      </c>
      <c r="AB63" s="250" t="str">
        <f>IF((($A63="")*($B63=""))+((MID($Y63,1,4)&lt;&gt;"Wahl")*(Deckblatt!$C$14='WK-Vorlagen'!$C$82))+(Deckblatt!$C$14&lt;&gt;'WK-Vorlagen'!$C$82),"",IF(ISERROR(MATCH(VALUE(MID(H63,1,2)),Schwierigkeitsstufen!$G$7:$G$19,0)),"Gerät falsch",LOOKUP(VALUE(MID(H63,1,2)),Schwierigkeitsstufen!$G$7:$G$19,Schwierigkeitsstufen!$H$7:$H$19)))</f>
        <v/>
      </c>
      <c r="AC63" s="250" t="str">
        <f>IF((($A63="")*($B63=""))+((MID($Y63,1,4)&lt;&gt;"Wahl")*(Deckblatt!$C$14='WK-Vorlagen'!$C$82))+(Deckblatt!$C$14&lt;&gt;'WK-Vorlagen'!$C$82),"",IF(ISERROR(MATCH(VALUE(MID(I63,1,2)),Schwierigkeitsstufen!$G$7:$G$19,0)),"Gerät falsch",LOOKUP(VALUE(MID(I63,1,2)),Schwierigkeitsstufen!$G$7:$G$19,Schwierigkeitsstufen!$H$7:$H$19)))</f>
        <v/>
      </c>
      <c r="AD63" s="251" t="str">
        <f>IF((($A63="")*($B63=""))+((MID($Y63,1,4)&lt;&gt;"Wahl")*(Deckblatt!$C$14='WK-Vorlagen'!$C$82))+(Deckblatt!$C$14&lt;&gt;'WK-Vorlagen'!$C$82),"",IF(ISERROR(MATCH(VALUE(MID(J63,1,2)),Schwierigkeitsstufen!$G$7:$G$19,0)),"Gerät falsch",LOOKUP(VALUE(MID(J63,1,2)),Schwierigkeitsstufen!$G$7:$G$19,Schwierigkeitsstufen!$H$7:$H$19)))</f>
        <v/>
      </c>
      <c r="AE63" s="211"/>
      <c r="AG63" s="221" t="str">
        <f t="shared" si="0"/>
        <v/>
      </c>
      <c r="AH63" s="222" t="str">
        <f t="shared" si="5"/>
        <v/>
      </c>
      <c r="AI63" s="220">
        <f t="shared" si="6"/>
        <v>4</v>
      </c>
      <c r="AJ63" s="222">
        <f t="shared" si="7"/>
        <v>0</v>
      </c>
      <c r="AK63" s="299" t="str">
        <f>IF(ISERROR(LOOKUP(E63,WKNrListe,Übersicht!$R$7:$R$46)),"-",LOOKUP(E63,WKNrListe,Übersicht!$R$7:$R$46))</f>
        <v>-</v>
      </c>
      <c r="AL63" s="299" t="str">
        <f t="shared" si="2"/>
        <v>-</v>
      </c>
      <c r="AM63" s="303"/>
      <c r="AN63" s="174" t="str">
        <f t="shared" si="8"/>
        <v>Leer</v>
      </c>
    </row>
    <row r="64" spans="1:40" s="174" customFormat="1" ht="15" customHeight="1">
      <c r="A64" s="63"/>
      <c r="B64" s="63"/>
      <c r="C64" s="84"/>
      <c r="D64" s="85"/>
      <c r="E64" s="62"/>
      <c r="F64" s="62"/>
      <c r="G64" s="62"/>
      <c r="H64" s="62"/>
      <c r="I64" s="62"/>
      <c r="J64" s="62"/>
      <c r="K64" s="62"/>
      <c r="L64" s="62"/>
      <c r="M64" s="62"/>
      <c r="N64" s="62"/>
      <c r="O64" s="62"/>
      <c r="P64" s="62"/>
      <c r="Q64" s="62"/>
      <c r="R64" s="62"/>
      <c r="S64" s="258"/>
      <c r="T64" s="248" t="str">
        <f t="shared" si="3"/>
        <v/>
      </c>
      <c r="U64" s="249" t="str">
        <f t="shared" si="4"/>
        <v/>
      </c>
      <c r="V64" s="294" t="str">
        <f t="shared" si="1"/>
        <v/>
      </c>
      <c r="W64" s="294" t="str">
        <f>IF(((E64="")+(F64="")),"",IF(VLOOKUP(F64,Mannschaften!$A$1:$B$54,2,FALSE)&lt;&gt;E64,"Reiter Mannschaften füllen",""))</f>
        <v/>
      </c>
      <c r="X64" s="248" t="str">
        <f>IF(ISBLANK(C64),"",IF((U64&gt;(LOOKUP(E64,WKNrListe,Übersicht!$O$7:$O$46)))+(U64&lt;(LOOKUP(E64,WKNrListe,Übersicht!$P$7:$P$46))),"JG falsch",""))</f>
        <v/>
      </c>
      <c r="Y64" s="255" t="str">
        <f>IF((A64="")*(B64=""),"",IF(ISERROR(MATCH(E64,WKNrListe,0)),"WK falsch",LOOKUP(E64,WKNrListe,Übersicht!$B$7:$B$46)))</f>
        <v/>
      </c>
      <c r="Z64" s="269" t="str">
        <f>IF(((AJ64=0)*(AH64&lt;&gt;"")*(AK64="-"))+((AJ64&lt;&gt;0)*(AH64&lt;&gt;"")*(AK64="-")),IF(AG64="X",Übersicht!$C$70,Übersicht!$C$69),"-")</f>
        <v>-</v>
      </c>
      <c r="AA64" s="252" t="str">
        <f>IF((($A64="")*($B64=""))+((MID($Y64,1,4)&lt;&gt;"Wahl")*(Deckblatt!$C$14='WK-Vorlagen'!$C$82))+(Deckblatt!$C$14&lt;&gt;'WK-Vorlagen'!$C$82),"",IF(ISERROR(MATCH(VALUE(MID(G64,1,2)),Schwierigkeitsstufen!$G$7:$G$19,0)),"Gerät falsch",LOOKUP(VALUE(MID(G64,1,2)),Schwierigkeitsstufen!$G$7:$G$19,Schwierigkeitsstufen!$H$7:$H$19)))</f>
        <v/>
      </c>
      <c r="AB64" s="250" t="str">
        <f>IF((($A64="")*($B64=""))+((MID($Y64,1,4)&lt;&gt;"Wahl")*(Deckblatt!$C$14='WK-Vorlagen'!$C$82))+(Deckblatt!$C$14&lt;&gt;'WK-Vorlagen'!$C$82),"",IF(ISERROR(MATCH(VALUE(MID(H64,1,2)),Schwierigkeitsstufen!$G$7:$G$19,0)),"Gerät falsch",LOOKUP(VALUE(MID(H64,1,2)),Schwierigkeitsstufen!$G$7:$G$19,Schwierigkeitsstufen!$H$7:$H$19)))</f>
        <v/>
      </c>
      <c r="AC64" s="250" t="str">
        <f>IF((($A64="")*($B64=""))+((MID($Y64,1,4)&lt;&gt;"Wahl")*(Deckblatt!$C$14='WK-Vorlagen'!$C$82))+(Deckblatt!$C$14&lt;&gt;'WK-Vorlagen'!$C$82),"",IF(ISERROR(MATCH(VALUE(MID(I64,1,2)),Schwierigkeitsstufen!$G$7:$G$19,0)),"Gerät falsch",LOOKUP(VALUE(MID(I64,1,2)),Schwierigkeitsstufen!$G$7:$G$19,Schwierigkeitsstufen!$H$7:$H$19)))</f>
        <v/>
      </c>
      <c r="AD64" s="251" t="str">
        <f>IF((($A64="")*($B64=""))+((MID($Y64,1,4)&lt;&gt;"Wahl")*(Deckblatt!$C$14='WK-Vorlagen'!$C$82))+(Deckblatt!$C$14&lt;&gt;'WK-Vorlagen'!$C$82),"",IF(ISERROR(MATCH(VALUE(MID(J64,1,2)),Schwierigkeitsstufen!$G$7:$G$19,0)),"Gerät falsch",LOOKUP(VALUE(MID(J64,1,2)),Schwierigkeitsstufen!$G$7:$G$19,Schwierigkeitsstufen!$H$7:$H$19)))</f>
        <v/>
      </c>
      <c r="AE64" s="211"/>
      <c r="AG64" s="221" t="str">
        <f t="shared" si="0"/>
        <v/>
      </c>
      <c r="AH64" s="222" t="str">
        <f t="shared" si="5"/>
        <v/>
      </c>
      <c r="AI64" s="220">
        <f t="shared" si="6"/>
        <v>4</v>
      </c>
      <c r="AJ64" s="222">
        <f t="shared" si="7"/>
        <v>0</v>
      </c>
      <c r="AK64" s="299" t="str">
        <f>IF(ISERROR(LOOKUP(E64,WKNrListe,Übersicht!$R$7:$R$46)),"-",LOOKUP(E64,WKNrListe,Übersicht!$R$7:$R$46))</f>
        <v>-</v>
      </c>
      <c r="AL64" s="299" t="str">
        <f t="shared" si="2"/>
        <v>-</v>
      </c>
      <c r="AM64" s="303"/>
      <c r="AN64" s="174" t="str">
        <f t="shared" si="8"/>
        <v>Leer</v>
      </c>
    </row>
    <row r="65" spans="1:40" s="174" customFormat="1" ht="15" customHeight="1">
      <c r="A65" s="63"/>
      <c r="B65" s="63"/>
      <c r="C65" s="84"/>
      <c r="D65" s="85"/>
      <c r="E65" s="62"/>
      <c r="F65" s="62"/>
      <c r="G65" s="62"/>
      <c r="H65" s="62"/>
      <c r="I65" s="62"/>
      <c r="J65" s="62"/>
      <c r="K65" s="62"/>
      <c r="L65" s="62"/>
      <c r="M65" s="62"/>
      <c r="N65" s="62"/>
      <c r="O65" s="62"/>
      <c r="P65" s="62"/>
      <c r="Q65" s="62"/>
      <c r="R65" s="62"/>
      <c r="S65" s="258"/>
      <c r="T65" s="248" t="str">
        <f t="shared" si="3"/>
        <v/>
      </c>
      <c r="U65" s="249" t="str">
        <f t="shared" si="4"/>
        <v/>
      </c>
      <c r="V65" s="294" t="str">
        <f t="shared" si="1"/>
        <v/>
      </c>
      <c r="W65" s="294" t="str">
        <f>IF(((E65="")+(F65="")),"",IF(VLOOKUP(F65,Mannschaften!$A$1:$B$54,2,FALSE)&lt;&gt;E65,"Reiter Mannschaften füllen",""))</f>
        <v/>
      </c>
      <c r="X65" s="248" t="str">
        <f>IF(ISBLANK(C65),"",IF((U65&gt;(LOOKUP(E65,WKNrListe,Übersicht!$O$7:$O$46)))+(U65&lt;(LOOKUP(E65,WKNrListe,Übersicht!$P$7:$P$46))),"JG falsch",""))</f>
        <v/>
      </c>
      <c r="Y65" s="255" t="str">
        <f>IF((A65="")*(B65=""),"",IF(ISERROR(MATCH(E65,WKNrListe,0)),"WK falsch",LOOKUP(E65,WKNrListe,Übersicht!$B$7:$B$46)))</f>
        <v/>
      </c>
      <c r="Z65" s="269" t="str">
        <f>IF(((AJ65=0)*(AH65&lt;&gt;"")*(AK65="-"))+((AJ65&lt;&gt;0)*(AH65&lt;&gt;"")*(AK65="-")),IF(AG65="X",Übersicht!$C$70,Übersicht!$C$69),"-")</f>
        <v>-</v>
      </c>
      <c r="AA65" s="252" t="str">
        <f>IF((($A65="")*($B65=""))+((MID($Y65,1,4)&lt;&gt;"Wahl")*(Deckblatt!$C$14='WK-Vorlagen'!$C$82))+(Deckblatt!$C$14&lt;&gt;'WK-Vorlagen'!$C$82),"",IF(ISERROR(MATCH(VALUE(MID(G65,1,2)),Schwierigkeitsstufen!$G$7:$G$19,0)),"Gerät falsch",LOOKUP(VALUE(MID(G65,1,2)),Schwierigkeitsstufen!$G$7:$G$19,Schwierigkeitsstufen!$H$7:$H$19)))</f>
        <v/>
      </c>
      <c r="AB65" s="250" t="str">
        <f>IF((($A65="")*($B65=""))+((MID($Y65,1,4)&lt;&gt;"Wahl")*(Deckblatt!$C$14='WK-Vorlagen'!$C$82))+(Deckblatt!$C$14&lt;&gt;'WK-Vorlagen'!$C$82),"",IF(ISERROR(MATCH(VALUE(MID(H65,1,2)),Schwierigkeitsstufen!$G$7:$G$19,0)),"Gerät falsch",LOOKUP(VALUE(MID(H65,1,2)),Schwierigkeitsstufen!$G$7:$G$19,Schwierigkeitsstufen!$H$7:$H$19)))</f>
        <v/>
      </c>
      <c r="AC65" s="250" t="str">
        <f>IF((($A65="")*($B65=""))+((MID($Y65,1,4)&lt;&gt;"Wahl")*(Deckblatt!$C$14='WK-Vorlagen'!$C$82))+(Deckblatt!$C$14&lt;&gt;'WK-Vorlagen'!$C$82),"",IF(ISERROR(MATCH(VALUE(MID(I65,1,2)),Schwierigkeitsstufen!$G$7:$G$19,0)),"Gerät falsch",LOOKUP(VALUE(MID(I65,1,2)),Schwierigkeitsstufen!$G$7:$G$19,Schwierigkeitsstufen!$H$7:$H$19)))</f>
        <v/>
      </c>
      <c r="AD65" s="251" t="str">
        <f>IF((($A65="")*($B65=""))+((MID($Y65,1,4)&lt;&gt;"Wahl")*(Deckblatt!$C$14='WK-Vorlagen'!$C$82))+(Deckblatt!$C$14&lt;&gt;'WK-Vorlagen'!$C$82),"",IF(ISERROR(MATCH(VALUE(MID(J65,1,2)),Schwierigkeitsstufen!$G$7:$G$19,0)),"Gerät falsch",LOOKUP(VALUE(MID(J65,1,2)),Schwierigkeitsstufen!$G$7:$G$19,Schwierigkeitsstufen!$H$7:$H$19)))</f>
        <v/>
      </c>
      <c r="AE65" s="211"/>
      <c r="AG65" s="221" t="str">
        <f t="shared" si="0"/>
        <v/>
      </c>
      <c r="AH65" s="222" t="str">
        <f t="shared" si="5"/>
        <v/>
      </c>
      <c r="AI65" s="220">
        <f t="shared" si="6"/>
        <v>4</v>
      </c>
      <c r="AJ65" s="222">
        <f t="shared" si="7"/>
        <v>0</v>
      </c>
      <c r="AK65" s="299" t="str">
        <f>IF(ISERROR(LOOKUP(E65,WKNrListe,Übersicht!$R$7:$R$46)),"-",LOOKUP(E65,WKNrListe,Übersicht!$R$7:$R$46))</f>
        <v>-</v>
      </c>
      <c r="AL65" s="299" t="str">
        <f t="shared" si="2"/>
        <v>-</v>
      </c>
      <c r="AM65" s="303"/>
      <c r="AN65" s="174" t="str">
        <f t="shared" si="8"/>
        <v>Leer</v>
      </c>
    </row>
    <row r="66" spans="1:40" s="174" customFormat="1" ht="15" customHeight="1">
      <c r="A66" s="63"/>
      <c r="B66" s="63"/>
      <c r="C66" s="84"/>
      <c r="D66" s="85"/>
      <c r="E66" s="62"/>
      <c r="F66" s="62"/>
      <c r="G66" s="62"/>
      <c r="H66" s="62"/>
      <c r="I66" s="62"/>
      <c r="J66" s="62"/>
      <c r="K66" s="62"/>
      <c r="L66" s="62"/>
      <c r="M66" s="62"/>
      <c r="N66" s="62"/>
      <c r="O66" s="62"/>
      <c r="P66" s="62"/>
      <c r="Q66" s="62"/>
      <c r="R66" s="62"/>
      <c r="S66" s="258"/>
      <c r="T66" s="248" t="str">
        <f t="shared" si="3"/>
        <v/>
      </c>
      <c r="U66" s="249" t="str">
        <f t="shared" si="4"/>
        <v/>
      </c>
      <c r="V66" s="294" t="str">
        <f t="shared" si="1"/>
        <v/>
      </c>
      <c r="W66" s="294" t="str">
        <f>IF(((E66="")+(F66="")),"",IF(VLOOKUP(F66,Mannschaften!$A$1:$B$54,2,FALSE)&lt;&gt;E66,"Reiter Mannschaften füllen",""))</f>
        <v/>
      </c>
      <c r="X66" s="248" t="str">
        <f>IF(ISBLANK(C66),"",IF((U66&gt;(LOOKUP(E66,WKNrListe,Übersicht!$O$7:$O$46)))+(U66&lt;(LOOKUP(E66,WKNrListe,Übersicht!$P$7:$P$46))),"JG falsch",""))</f>
        <v/>
      </c>
      <c r="Y66" s="255" t="str">
        <f>IF((A66="")*(B66=""),"",IF(ISERROR(MATCH(E66,WKNrListe,0)),"WK falsch",LOOKUP(E66,WKNrListe,Übersicht!$B$7:$B$46)))</f>
        <v/>
      </c>
      <c r="Z66" s="269" t="str">
        <f>IF(((AJ66=0)*(AH66&lt;&gt;"")*(AK66="-"))+((AJ66&lt;&gt;0)*(AH66&lt;&gt;"")*(AK66="-")),IF(AG66="X",Übersicht!$C$70,Übersicht!$C$69),"-")</f>
        <v>-</v>
      </c>
      <c r="AA66" s="252" t="str">
        <f>IF((($A66="")*($B66=""))+((MID($Y66,1,4)&lt;&gt;"Wahl")*(Deckblatt!$C$14='WK-Vorlagen'!$C$82))+(Deckblatt!$C$14&lt;&gt;'WK-Vorlagen'!$C$82),"",IF(ISERROR(MATCH(VALUE(MID(G66,1,2)),Schwierigkeitsstufen!$G$7:$G$19,0)),"Gerät falsch",LOOKUP(VALUE(MID(G66,1,2)),Schwierigkeitsstufen!$G$7:$G$19,Schwierigkeitsstufen!$H$7:$H$19)))</f>
        <v/>
      </c>
      <c r="AB66" s="250" t="str">
        <f>IF((($A66="")*($B66=""))+((MID($Y66,1,4)&lt;&gt;"Wahl")*(Deckblatt!$C$14='WK-Vorlagen'!$C$82))+(Deckblatt!$C$14&lt;&gt;'WK-Vorlagen'!$C$82),"",IF(ISERROR(MATCH(VALUE(MID(H66,1,2)),Schwierigkeitsstufen!$G$7:$G$19,0)),"Gerät falsch",LOOKUP(VALUE(MID(H66,1,2)),Schwierigkeitsstufen!$G$7:$G$19,Schwierigkeitsstufen!$H$7:$H$19)))</f>
        <v/>
      </c>
      <c r="AC66" s="250" t="str">
        <f>IF((($A66="")*($B66=""))+((MID($Y66,1,4)&lt;&gt;"Wahl")*(Deckblatt!$C$14='WK-Vorlagen'!$C$82))+(Deckblatt!$C$14&lt;&gt;'WK-Vorlagen'!$C$82),"",IF(ISERROR(MATCH(VALUE(MID(I66,1,2)),Schwierigkeitsstufen!$G$7:$G$19,0)),"Gerät falsch",LOOKUP(VALUE(MID(I66,1,2)),Schwierigkeitsstufen!$G$7:$G$19,Schwierigkeitsstufen!$H$7:$H$19)))</f>
        <v/>
      </c>
      <c r="AD66" s="251" t="str">
        <f>IF((($A66="")*($B66=""))+((MID($Y66,1,4)&lt;&gt;"Wahl")*(Deckblatt!$C$14='WK-Vorlagen'!$C$82))+(Deckblatt!$C$14&lt;&gt;'WK-Vorlagen'!$C$82),"",IF(ISERROR(MATCH(VALUE(MID(J66,1,2)),Schwierigkeitsstufen!$G$7:$G$19,0)),"Gerät falsch",LOOKUP(VALUE(MID(J66,1,2)),Schwierigkeitsstufen!$G$7:$G$19,Schwierigkeitsstufen!$H$7:$H$19)))</f>
        <v/>
      </c>
      <c r="AE66" s="211"/>
      <c r="AG66" s="221" t="str">
        <f t="shared" si="0"/>
        <v/>
      </c>
      <c r="AH66" s="222" t="str">
        <f t="shared" si="5"/>
        <v/>
      </c>
      <c r="AI66" s="220">
        <f t="shared" si="6"/>
        <v>4</v>
      </c>
      <c r="AJ66" s="222">
        <f t="shared" si="7"/>
        <v>0</v>
      </c>
      <c r="AK66" s="299" t="str">
        <f>IF(ISERROR(LOOKUP(E66,WKNrListe,Übersicht!$R$7:$R$46)),"-",LOOKUP(E66,WKNrListe,Übersicht!$R$7:$R$46))</f>
        <v>-</v>
      </c>
      <c r="AL66" s="299" t="str">
        <f t="shared" si="2"/>
        <v>-</v>
      </c>
      <c r="AM66" s="303"/>
      <c r="AN66" s="174" t="str">
        <f t="shared" si="8"/>
        <v>Leer</v>
      </c>
    </row>
    <row r="67" spans="1:40" s="174" customFormat="1" ht="15" customHeight="1">
      <c r="A67" s="63"/>
      <c r="B67" s="63"/>
      <c r="C67" s="84"/>
      <c r="D67" s="85"/>
      <c r="E67" s="62"/>
      <c r="F67" s="62"/>
      <c r="G67" s="62"/>
      <c r="H67" s="62"/>
      <c r="I67" s="62"/>
      <c r="J67" s="62"/>
      <c r="K67" s="62"/>
      <c r="L67" s="62"/>
      <c r="M67" s="62"/>
      <c r="N67" s="62"/>
      <c r="O67" s="62"/>
      <c r="P67" s="62"/>
      <c r="Q67" s="62"/>
      <c r="R67" s="62"/>
      <c r="S67" s="258"/>
      <c r="T67" s="248" t="str">
        <f t="shared" si="3"/>
        <v/>
      </c>
      <c r="U67" s="249" t="str">
        <f t="shared" si="4"/>
        <v/>
      </c>
      <c r="V67" s="294" t="str">
        <f t="shared" si="1"/>
        <v/>
      </c>
      <c r="W67" s="294" t="str">
        <f>IF(((E67="")+(F67="")),"",IF(VLOOKUP(F67,Mannschaften!$A$1:$B$54,2,FALSE)&lt;&gt;E67,"Reiter Mannschaften füllen",""))</f>
        <v/>
      </c>
      <c r="X67" s="248" t="str">
        <f>IF(ISBLANK(C67),"",IF((U67&gt;(LOOKUP(E67,WKNrListe,Übersicht!$O$7:$O$46)))+(U67&lt;(LOOKUP(E67,WKNrListe,Übersicht!$P$7:$P$46))),"JG falsch",""))</f>
        <v/>
      </c>
      <c r="Y67" s="255" t="str">
        <f>IF((A67="")*(B67=""),"",IF(ISERROR(MATCH(E67,WKNrListe,0)),"WK falsch",LOOKUP(E67,WKNrListe,Übersicht!$B$7:$B$46)))</f>
        <v/>
      </c>
      <c r="Z67" s="269" t="str">
        <f>IF(((AJ67=0)*(AH67&lt;&gt;"")*(AK67="-"))+((AJ67&lt;&gt;0)*(AH67&lt;&gt;"")*(AK67="-")),IF(AG67="X",Übersicht!$C$70,Übersicht!$C$69),"-")</f>
        <v>-</v>
      </c>
      <c r="AA67" s="252" t="str">
        <f>IF((($A67="")*($B67=""))+((MID($Y67,1,4)&lt;&gt;"Wahl")*(Deckblatt!$C$14='WK-Vorlagen'!$C$82))+(Deckblatt!$C$14&lt;&gt;'WK-Vorlagen'!$C$82),"",IF(ISERROR(MATCH(VALUE(MID(G67,1,2)),Schwierigkeitsstufen!$G$7:$G$19,0)),"Gerät falsch",LOOKUP(VALUE(MID(G67,1,2)),Schwierigkeitsstufen!$G$7:$G$19,Schwierigkeitsstufen!$H$7:$H$19)))</f>
        <v/>
      </c>
      <c r="AB67" s="250" t="str">
        <f>IF((($A67="")*($B67=""))+((MID($Y67,1,4)&lt;&gt;"Wahl")*(Deckblatt!$C$14='WK-Vorlagen'!$C$82))+(Deckblatt!$C$14&lt;&gt;'WK-Vorlagen'!$C$82),"",IF(ISERROR(MATCH(VALUE(MID(H67,1,2)),Schwierigkeitsstufen!$G$7:$G$19,0)),"Gerät falsch",LOOKUP(VALUE(MID(H67,1,2)),Schwierigkeitsstufen!$G$7:$G$19,Schwierigkeitsstufen!$H$7:$H$19)))</f>
        <v/>
      </c>
      <c r="AC67" s="250" t="str">
        <f>IF((($A67="")*($B67=""))+((MID($Y67,1,4)&lt;&gt;"Wahl")*(Deckblatt!$C$14='WK-Vorlagen'!$C$82))+(Deckblatt!$C$14&lt;&gt;'WK-Vorlagen'!$C$82),"",IF(ISERROR(MATCH(VALUE(MID(I67,1,2)),Schwierigkeitsstufen!$G$7:$G$19,0)),"Gerät falsch",LOOKUP(VALUE(MID(I67,1,2)),Schwierigkeitsstufen!$G$7:$G$19,Schwierigkeitsstufen!$H$7:$H$19)))</f>
        <v/>
      </c>
      <c r="AD67" s="251" t="str">
        <f>IF((($A67="")*($B67=""))+((MID($Y67,1,4)&lt;&gt;"Wahl")*(Deckblatt!$C$14='WK-Vorlagen'!$C$82))+(Deckblatt!$C$14&lt;&gt;'WK-Vorlagen'!$C$82),"",IF(ISERROR(MATCH(VALUE(MID(J67,1,2)),Schwierigkeitsstufen!$G$7:$G$19,0)),"Gerät falsch",LOOKUP(VALUE(MID(J67,1,2)),Schwierigkeitsstufen!$G$7:$G$19,Schwierigkeitsstufen!$H$7:$H$19)))</f>
        <v/>
      </c>
      <c r="AE67" s="211"/>
      <c r="AG67" s="221" t="str">
        <f t="shared" si="0"/>
        <v/>
      </c>
      <c r="AH67" s="222" t="str">
        <f t="shared" si="5"/>
        <v/>
      </c>
      <c r="AI67" s="220">
        <f t="shared" si="6"/>
        <v>4</v>
      </c>
      <c r="AJ67" s="222">
        <f t="shared" si="7"/>
        <v>0</v>
      </c>
      <c r="AK67" s="299" t="str">
        <f>IF(ISERROR(LOOKUP(E67,WKNrListe,Übersicht!$R$7:$R$46)),"-",LOOKUP(E67,WKNrListe,Übersicht!$R$7:$R$46))</f>
        <v>-</v>
      </c>
      <c r="AL67" s="299" t="str">
        <f t="shared" si="2"/>
        <v>-</v>
      </c>
      <c r="AM67" s="303"/>
      <c r="AN67" s="174" t="str">
        <f t="shared" si="8"/>
        <v>Leer</v>
      </c>
    </row>
    <row r="68" spans="1:40" s="174" customFormat="1" ht="15" customHeight="1">
      <c r="A68" s="63"/>
      <c r="B68" s="63"/>
      <c r="C68" s="84"/>
      <c r="D68" s="85"/>
      <c r="E68" s="62"/>
      <c r="F68" s="62"/>
      <c r="G68" s="62"/>
      <c r="H68" s="62"/>
      <c r="I68" s="62"/>
      <c r="J68" s="62"/>
      <c r="K68" s="62"/>
      <c r="L68" s="62"/>
      <c r="M68" s="62"/>
      <c r="N68" s="62"/>
      <c r="O68" s="62"/>
      <c r="P68" s="62"/>
      <c r="Q68" s="62"/>
      <c r="R68" s="62"/>
      <c r="S68" s="258"/>
      <c r="T68" s="248" t="str">
        <f t="shared" si="3"/>
        <v/>
      </c>
      <c r="U68" s="249" t="str">
        <f t="shared" si="4"/>
        <v/>
      </c>
      <c r="V68" s="294" t="str">
        <f t="shared" si="1"/>
        <v/>
      </c>
      <c r="W68" s="294" t="str">
        <f>IF(((E68="")+(F68="")),"",IF(VLOOKUP(F68,Mannschaften!$A$1:$B$54,2,FALSE)&lt;&gt;E68,"Reiter Mannschaften füllen",""))</f>
        <v/>
      </c>
      <c r="X68" s="248" t="str">
        <f>IF(ISBLANK(C68),"",IF((U68&gt;(LOOKUP(E68,WKNrListe,Übersicht!$O$7:$O$46)))+(U68&lt;(LOOKUP(E68,WKNrListe,Übersicht!$P$7:$P$46))),"JG falsch",""))</f>
        <v/>
      </c>
      <c r="Y68" s="255" t="str">
        <f>IF((A68="")*(B68=""),"",IF(ISERROR(MATCH(E68,WKNrListe,0)),"WK falsch",LOOKUP(E68,WKNrListe,Übersicht!$B$7:$B$46)))</f>
        <v/>
      </c>
      <c r="Z68" s="269" t="str">
        <f>IF(((AJ68=0)*(AH68&lt;&gt;"")*(AK68="-"))+((AJ68&lt;&gt;0)*(AH68&lt;&gt;"")*(AK68="-")),IF(AG68="X",Übersicht!$C$70,Übersicht!$C$69),"-")</f>
        <v>-</v>
      </c>
      <c r="AA68" s="252" t="str">
        <f>IF((($A68="")*($B68=""))+((MID($Y68,1,4)&lt;&gt;"Wahl")*(Deckblatt!$C$14='WK-Vorlagen'!$C$82))+(Deckblatt!$C$14&lt;&gt;'WK-Vorlagen'!$C$82),"",IF(ISERROR(MATCH(VALUE(MID(G68,1,2)),Schwierigkeitsstufen!$G$7:$G$19,0)),"Gerät falsch",LOOKUP(VALUE(MID(G68,1,2)),Schwierigkeitsstufen!$G$7:$G$19,Schwierigkeitsstufen!$H$7:$H$19)))</f>
        <v/>
      </c>
      <c r="AB68" s="250" t="str">
        <f>IF((($A68="")*($B68=""))+((MID($Y68,1,4)&lt;&gt;"Wahl")*(Deckblatt!$C$14='WK-Vorlagen'!$C$82))+(Deckblatt!$C$14&lt;&gt;'WK-Vorlagen'!$C$82),"",IF(ISERROR(MATCH(VALUE(MID(H68,1,2)),Schwierigkeitsstufen!$G$7:$G$19,0)),"Gerät falsch",LOOKUP(VALUE(MID(H68,1,2)),Schwierigkeitsstufen!$G$7:$G$19,Schwierigkeitsstufen!$H$7:$H$19)))</f>
        <v/>
      </c>
      <c r="AC68" s="250" t="str">
        <f>IF((($A68="")*($B68=""))+((MID($Y68,1,4)&lt;&gt;"Wahl")*(Deckblatt!$C$14='WK-Vorlagen'!$C$82))+(Deckblatt!$C$14&lt;&gt;'WK-Vorlagen'!$C$82),"",IF(ISERROR(MATCH(VALUE(MID(I68,1,2)),Schwierigkeitsstufen!$G$7:$G$19,0)),"Gerät falsch",LOOKUP(VALUE(MID(I68,1,2)),Schwierigkeitsstufen!$G$7:$G$19,Schwierigkeitsstufen!$H$7:$H$19)))</f>
        <v/>
      </c>
      <c r="AD68" s="251" t="str">
        <f>IF((($A68="")*($B68=""))+((MID($Y68,1,4)&lt;&gt;"Wahl")*(Deckblatt!$C$14='WK-Vorlagen'!$C$82))+(Deckblatt!$C$14&lt;&gt;'WK-Vorlagen'!$C$82),"",IF(ISERROR(MATCH(VALUE(MID(J68,1,2)),Schwierigkeitsstufen!$G$7:$G$19,0)),"Gerät falsch",LOOKUP(VALUE(MID(J68,1,2)),Schwierigkeitsstufen!$G$7:$G$19,Schwierigkeitsstufen!$H$7:$H$19)))</f>
        <v/>
      </c>
      <c r="AE68" s="211"/>
      <c r="AG68" s="221" t="str">
        <f t="shared" ref="AG68:AG131" si="9">IF((C68&lt;&gt;0),IF(((Jahr-U68)&gt;19)*(AJ68=0)*(AK68&lt;&gt;1),"X",IF(((Jahr-U68)&gt;19)*(AJ68=0),"J","-")),"")</f>
        <v/>
      </c>
      <c r="AH68" s="222" t="str">
        <f t="shared" si="5"/>
        <v/>
      </c>
      <c r="AI68" s="220">
        <f t="shared" si="6"/>
        <v>4</v>
      </c>
      <c r="AJ68" s="222">
        <f t="shared" si="7"/>
        <v>0</v>
      </c>
      <c r="AK68" s="299" t="str">
        <f>IF(ISERROR(LOOKUP(E68,WKNrListe,Übersicht!$R$7:$R$46)),"-",LOOKUP(E68,WKNrListe,Übersicht!$R$7:$R$46))</f>
        <v>-</v>
      </c>
      <c r="AL68" s="299" t="str">
        <f t="shared" si="2"/>
        <v>-</v>
      </c>
      <c r="AM68" s="303"/>
      <c r="AN68" s="174" t="str">
        <f t="shared" si="8"/>
        <v>Leer</v>
      </c>
    </row>
    <row r="69" spans="1:40" s="174" customFormat="1" ht="15" customHeight="1">
      <c r="A69" s="63"/>
      <c r="B69" s="63"/>
      <c r="C69" s="84"/>
      <c r="D69" s="85"/>
      <c r="E69" s="62"/>
      <c r="F69" s="62"/>
      <c r="G69" s="62"/>
      <c r="H69" s="62"/>
      <c r="I69" s="62"/>
      <c r="J69" s="62"/>
      <c r="K69" s="62"/>
      <c r="L69" s="62"/>
      <c r="M69" s="62"/>
      <c r="N69" s="62"/>
      <c r="O69" s="62"/>
      <c r="P69" s="62"/>
      <c r="Q69" s="62"/>
      <c r="R69" s="62"/>
      <c r="S69" s="258"/>
      <c r="T69" s="248" t="str">
        <f t="shared" si="3"/>
        <v/>
      </c>
      <c r="U69" s="249" t="str">
        <f t="shared" si="4"/>
        <v/>
      </c>
      <c r="V69" s="294" t="str">
        <f t="shared" ref="V69:V132" si="10">IF(((AK69="-")*(F69=""))+((AK69=1)*(F69&lt;&gt;""))+(Y69="WK falsch"),"",IF((AK69=1)*(F69=""),"Mannsch-Nr fehlt","Mannsch-Nr entf"))</f>
        <v/>
      </c>
      <c r="W69" s="294" t="str">
        <f>IF(((E69="")+(F69="")),"",IF(VLOOKUP(F69,Mannschaften!$A$1:$B$54,2,FALSE)&lt;&gt;E69,"Reiter Mannschaften füllen",""))</f>
        <v/>
      </c>
      <c r="X69" s="248" t="str">
        <f>IF(ISBLANK(C69),"",IF((U69&gt;(LOOKUP(E69,WKNrListe,Übersicht!$O$7:$O$46)))+(U69&lt;(LOOKUP(E69,WKNrListe,Übersicht!$P$7:$P$46))),"JG falsch",""))</f>
        <v/>
      </c>
      <c r="Y69" s="255" t="str">
        <f>IF((A69="")*(B69=""),"",IF(ISERROR(MATCH(E69,WKNrListe,0)),"WK falsch",LOOKUP(E69,WKNrListe,Übersicht!$B$7:$B$46)))</f>
        <v/>
      </c>
      <c r="Z69" s="269" t="str">
        <f>IF(((AJ69=0)*(AH69&lt;&gt;"")*(AK69="-"))+((AJ69&lt;&gt;0)*(AH69&lt;&gt;"")*(AK69="-")),IF(AG69="X",Übersicht!$C$70,Übersicht!$C$69),"-")</f>
        <v>-</v>
      </c>
      <c r="AA69" s="252" t="str">
        <f>IF((($A69="")*($B69=""))+((MID($Y69,1,4)&lt;&gt;"Wahl")*(Deckblatt!$C$14='WK-Vorlagen'!$C$82))+(Deckblatt!$C$14&lt;&gt;'WK-Vorlagen'!$C$82),"",IF(ISERROR(MATCH(VALUE(MID(G69,1,2)),Schwierigkeitsstufen!$G$7:$G$19,0)),"Gerät falsch",LOOKUP(VALUE(MID(G69,1,2)),Schwierigkeitsstufen!$G$7:$G$19,Schwierigkeitsstufen!$H$7:$H$19)))</f>
        <v/>
      </c>
      <c r="AB69" s="250" t="str">
        <f>IF((($A69="")*($B69=""))+((MID($Y69,1,4)&lt;&gt;"Wahl")*(Deckblatt!$C$14='WK-Vorlagen'!$C$82))+(Deckblatt!$C$14&lt;&gt;'WK-Vorlagen'!$C$82),"",IF(ISERROR(MATCH(VALUE(MID(H69,1,2)),Schwierigkeitsstufen!$G$7:$G$19,0)),"Gerät falsch",LOOKUP(VALUE(MID(H69,1,2)),Schwierigkeitsstufen!$G$7:$G$19,Schwierigkeitsstufen!$H$7:$H$19)))</f>
        <v/>
      </c>
      <c r="AC69" s="250" t="str">
        <f>IF((($A69="")*($B69=""))+((MID($Y69,1,4)&lt;&gt;"Wahl")*(Deckblatt!$C$14='WK-Vorlagen'!$C$82))+(Deckblatt!$C$14&lt;&gt;'WK-Vorlagen'!$C$82),"",IF(ISERROR(MATCH(VALUE(MID(I69,1,2)),Schwierigkeitsstufen!$G$7:$G$19,0)),"Gerät falsch",LOOKUP(VALUE(MID(I69,1,2)),Schwierigkeitsstufen!$G$7:$G$19,Schwierigkeitsstufen!$H$7:$H$19)))</f>
        <v/>
      </c>
      <c r="AD69" s="251" t="str">
        <f>IF((($A69="")*($B69=""))+((MID($Y69,1,4)&lt;&gt;"Wahl")*(Deckblatt!$C$14='WK-Vorlagen'!$C$82))+(Deckblatt!$C$14&lt;&gt;'WK-Vorlagen'!$C$82),"",IF(ISERROR(MATCH(VALUE(MID(J69,1,2)),Schwierigkeitsstufen!$G$7:$G$19,0)),"Gerät falsch",LOOKUP(VALUE(MID(J69,1,2)),Schwierigkeitsstufen!$G$7:$G$19,Schwierigkeitsstufen!$H$7:$H$19)))</f>
        <v/>
      </c>
      <c r="AE69" s="211"/>
      <c r="AG69" s="221" t="str">
        <f t="shared" si="9"/>
        <v/>
      </c>
      <c r="AH69" s="222" t="str">
        <f t="shared" ref="AH69:AH132" si="11">CONCATENATE(TRIM(A69),TRIM(B69),TRIM(C69))</f>
        <v/>
      </c>
      <c r="AI69" s="220">
        <f t="shared" si="6"/>
        <v>4</v>
      </c>
      <c r="AJ69" s="222">
        <f t="shared" ref="AJ69:AJ132" si="12">IF(AH69="",0,IF(ROW(AH69)=AI69,0,AI69))</f>
        <v>0</v>
      </c>
      <c r="AK69" s="299" t="str">
        <f>IF(ISERROR(LOOKUP(E69,WKNrListe,Übersicht!$R$7:$R$46)),"-",LOOKUP(E69,WKNrListe,Übersicht!$R$7:$R$46))</f>
        <v>-</v>
      </c>
      <c r="AL69" s="299" t="str">
        <f t="shared" si="2"/>
        <v>-</v>
      </c>
      <c r="AM69" s="303"/>
      <c r="AN69" s="174" t="str">
        <f t="shared" si="8"/>
        <v>Leer</v>
      </c>
    </row>
    <row r="70" spans="1:40" s="174" customFormat="1" ht="15" customHeight="1">
      <c r="A70" s="63"/>
      <c r="B70" s="63"/>
      <c r="C70" s="84"/>
      <c r="D70" s="85"/>
      <c r="E70" s="62"/>
      <c r="F70" s="62"/>
      <c r="G70" s="62"/>
      <c r="H70" s="62"/>
      <c r="I70" s="62"/>
      <c r="J70" s="62"/>
      <c r="K70" s="62"/>
      <c r="L70" s="62"/>
      <c r="M70" s="62"/>
      <c r="N70" s="62"/>
      <c r="O70" s="62"/>
      <c r="P70" s="62"/>
      <c r="Q70" s="62"/>
      <c r="R70" s="62"/>
      <c r="S70" s="258"/>
      <c r="T70" s="248" t="str">
        <f t="shared" ref="T70:T133" si="13">IF(AND(OR(ISTEXT(A70),ISTEXT(B70),NOT(ISBLANK(C70)),NOT(ISBLANK(D70)),NOT(ISBLANK(E70))),OR(ISBLANK(A70),ISBLANK(B70),ISBLANK(C70),ISBLANK(E70))),"unvollständig","")</f>
        <v/>
      </c>
      <c r="U70" s="249" t="str">
        <f t="shared" ref="U70:U133" si="14">IF(ISBLANK(C70),"",YEAR(C70))</f>
        <v/>
      </c>
      <c r="V70" s="294" t="str">
        <f t="shared" si="10"/>
        <v/>
      </c>
      <c r="W70" s="294" t="str">
        <f>IF(((E70="")+(F70="")),"",IF(VLOOKUP(F70,Mannschaften!$A$1:$B$54,2,FALSE)&lt;&gt;E70,"Reiter Mannschaften füllen",""))</f>
        <v/>
      </c>
      <c r="X70" s="248" t="str">
        <f>IF(ISBLANK(C70),"",IF((U70&gt;(LOOKUP(E70,WKNrListe,Übersicht!$O$7:$O$46)))+(U70&lt;(LOOKUP(E70,WKNrListe,Übersicht!$P$7:$P$46))),"JG falsch",""))</f>
        <v/>
      </c>
      <c r="Y70" s="255" t="str">
        <f>IF((A70="")*(B70=""),"",IF(ISERROR(MATCH(E70,WKNrListe,0)),"WK falsch",LOOKUP(E70,WKNrListe,Übersicht!$B$7:$B$46)))</f>
        <v/>
      </c>
      <c r="Z70" s="269" t="str">
        <f>IF(((AJ70=0)*(AH70&lt;&gt;"")*(AK70="-"))+((AJ70&lt;&gt;0)*(AH70&lt;&gt;"")*(AK70="-")),IF(AG70="X",Übersicht!$C$70,Übersicht!$C$69),"-")</f>
        <v>-</v>
      </c>
      <c r="AA70" s="252" t="str">
        <f>IF((($A70="")*($B70=""))+((MID($Y70,1,4)&lt;&gt;"Wahl")*(Deckblatt!$C$14='WK-Vorlagen'!$C$82))+(Deckblatt!$C$14&lt;&gt;'WK-Vorlagen'!$C$82),"",IF(ISERROR(MATCH(VALUE(MID(G70,1,2)),Schwierigkeitsstufen!$G$7:$G$19,0)),"Gerät falsch",LOOKUP(VALUE(MID(G70,1,2)),Schwierigkeitsstufen!$G$7:$G$19,Schwierigkeitsstufen!$H$7:$H$19)))</f>
        <v/>
      </c>
      <c r="AB70" s="250" t="str">
        <f>IF((($A70="")*($B70=""))+((MID($Y70,1,4)&lt;&gt;"Wahl")*(Deckblatt!$C$14='WK-Vorlagen'!$C$82))+(Deckblatt!$C$14&lt;&gt;'WK-Vorlagen'!$C$82),"",IF(ISERROR(MATCH(VALUE(MID(H70,1,2)),Schwierigkeitsstufen!$G$7:$G$19,0)),"Gerät falsch",LOOKUP(VALUE(MID(H70,1,2)),Schwierigkeitsstufen!$G$7:$G$19,Schwierigkeitsstufen!$H$7:$H$19)))</f>
        <v/>
      </c>
      <c r="AC70" s="250" t="str">
        <f>IF((($A70="")*($B70=""))+((MID($Y70,1,4)&lt;&gt;"Wahl")*(Deckblatt!$C$14='WK-Vorlagen'!$C$82))+(Deckblatt!$C$14&lt;&gt;'WK-Vorlagen'!$C$82),"",IF(ISERROR(MATCH(VALUE(MID(I70,1,2)),Schwierigkeitsstufen!$G$7:$G$19,0)),"Gerät falsch",LOOKUP(VALUE(MID(I70,1,2)),Schwierigkeitsstufen!$G$7:$G$19,Schwierigkeitsstufen!$H$7:$H$19)))</f>
        <v/>
      </c>
      <c r="AD70" s="251" t="str">
        <f>IF((($A70="")*($B70=""))+((MID($Y70,1,4)&lt;&gt;"Wahl")*(Deckblatt!$C$14='WK-Vorlagen'!$C$82))+(Deckblatt!$C$14&lt;&gt;'WK-Vorlagen'!$C$82),"",IF(ISERROR(MATCH(VALUE(MID(J70,1,2)),Schwierigkeitsstufen!$G$7:$G$19,0)),"Gerät falsch",LOOKUP(VALUE(MID(J70,1,2)),Schwierigkeitsstufen!$G$7:$G$19,Schwierigkeitsstufen!$H$7:$H$19)))</f>
        <v/>
      </c>
      <c r="AE70" s="211"/>
      <c r="AG70" s="221" t="str">
        <f t="shared" si="9"/>
        <v/>
      </c>
      <c r="AH70" s="222" t="str">
        <f t="shared" si="11"/>
        <v/>
      </c>
      <c r="AI70" s="220">
        <f t="shared" si="6"/>
        <v>4</v>
      </c>
      <c r="AJ70" s="222">
        <f t="shared" si="12"/>
        <v>0</v>
      </c>
      <c r="AK70" s="299" t="str">
        <f>IF(ISERROR(LOOKUP(E70,WKNrListe,Übersicht!$R$7:$R$46)),"-",LOOKUP(E70,WKNrListe,Übersicht!$R$7:$R$46))</f>
        <v>-</v>
      </c>
      <c r="AL70" s="299" t="str">
        <f t="shared" ref="AL70:AL133" si="15">IF(E70="","-",E70)</f>
        <v>-</v>
      </c>
      <c r="AM70" s="303"/>
      <c r="AN70" s="174" t="str">
        <f t="shared" si="8"/>
        <v>Leer</v>
      </c>
    </row>
    <row r="71" spans="1:40" s="174" customFormat="1" ht="15" customHeight="1">
      <c r="A71" s="63"/>
      <c r="B71" s="63"/>
      <c r="C71" s="84"/>
      <c r="D71" s="85"/>
      <c r="E71" s="62"/>
      <c r="F71" s="62"/>
      <c r="G71" s="62"/>
      <c r="H71" s="62"/>
      <c r="I71" s="62"/>
      <c r="J71" s="62"/>
      <c r="K71" s="62"/>
      <c r="L71" s="62"/>
      <c r="M71" s="62"/>
      <c r="N71" s="62"/>
      <c r="O71" s="62"/>
      <c r="P71" s="62"/>
      <c r="Q71" s="62"/>
      <c r="R71" s="62"/>
      <c r="S71" s="258"/>
      <c r="T71" s="248" t="str">
        <f t="shared" si="13"/>
        <v/>
      </c>
      <c r="U71" s="249" t="str">
        <f t="shared" si="14"/>
        <v/>
      </c>
      <c r="V71" s="294" t="str">
        <f t="shared" si="10"/>
        <v/>
      </c>
      <c r="W71" s="294" t="str">
        <f>IF(((E71="")+(F71="")),"",IF(VLOOKUP(F71,Mannschaften!$A$1:$B$54,2,FALSE)&lt;&gt;E71,"Reiter Mannschaften füllen",""))</f>
        <v/>
      </c>
      <c r="X71" s="248" t="str">
        <f>IF(ISBLANK(C71),"",IF((U71&gt;(LOOKUP(E71,WKNrListe,Übersicht!$O$7:$O$46)))+(U71&lt;(LOOKUP(E71,WKNrListe,Übersicht!$P$7:$P$46))),"JG falsch",""))</f>
        <v/>
      </c>
      <c r="Y71" s="255" t="str">
        <f>IF((A71="")*(B71=""),"",IF(ISERROR(MATCH(E71,WKNrListe,0)),"WK falsch",LOOKUP(E71,WKNrListe,Übersicht!$B$7:$B$46)))</f>
        <v/>
      </c>
      <c r="Z71" s="269" t="str">
        <f>IF(((AJ71=0)*(AH71&lt;&gt;"")*(AK71="-"))+((AJ71&lt;&gt;0)*(AH71&lt;&gt;"")*(AK71="-")),IF(AG71="X",Übersicht!$C$70,Übersicht!$C$69),"-")</f>
        <v>-</v>
      </c>
      <c r="AA71" s="252" t="str">
        <f>IF((($A71="")*($B71=""))+((MID($Y71,1,4)&lt;&gt;"Wahl")*(Deckblatt!$C$14='WK-Vorlagen'!$C$82))+(Deckblatt!$C$14&lt;&gt;'WK-Vorlagen'!$C$82),"",IF(ISERROR(MATCH(VALUE(MID(G71,1,2)),Schwierigkeitsstufen!$G$7:$G$19,0)),"Gerät falsch",LOOKUP(VALUE(MID(G71,1,2)),Schwierigkeitsstufen!$G$7:$G$19,Schwierigkeitsstufen!$H$7:$H$19)))</f>
        <v/>
      </c>
      <c r="AB71" s="250" t="str">
        <f>IF((($A71="")*($B71=""))+((MID($Y71,1,4)&lt;&gt;"Wahl")*(Deckblatt!$C$14='WK-Vorlagen'!$C$82))+(Deckblatt!$C$14&lt;&gt;'WK-Vorlagen'!$C$82),"",IF(ISERROR(MATCH(VALUE(MID(H71,1,2)),Schwierigkeitsstufen!$G$7:$G$19,0)),"Gerät falsch",LOOKUP(VALUE(MID(H71,1,2)),Schwierigkeitsstufen!$G$7:$G$19,Schwierigkeitsstufen!$H$7:$H$19)))</f>
        <v/>
      </c>
      <c r="AC71" s="250" t="str">
        <f>IF((($A71="")*($B71=""))+((MID($Y71,1,4)&lt;&gt;"Wahl")*(Deckblatt!$C$14='WK-Vorlagen'!$C$82))+(Deckblatt!$C$14&lt;&gt;'WK-Vorlagen'!$C$82),"",IF(ISERROR(MATCH(VALUE(MID(I71,1,2)),Schwierigkeitsstufen!$G$7:$G$19,0)),"Gerät falsch",LOOKUP(VALUE(MID(I71,1,2)),Schwierigkeitsstufen!$G$7:$G$19,Schwierigkeitsstufen!$H$7:$H$19)))</f>
        <v/>
      </c>
      <c r="AD71" s="251" t="str">
        <f>IF((($A71="")*($B71=""))+((MID($Y71,1,4)&lt;&gt;"Wahl")*(Deckblatt!$C$14='WK-Vorlagen'!$C$82))+(Deckblatt!$C$14&lt;&gt;'WK-Vorlagen'!$C$82),"",IF(ISERROR(MATCH(VALUE(MID(J71,1,2)),Schwierigkeitsstufen!$G$7:$G$19,0)),"Gerät falsch",LOOKUP(VALUE(MID(J71,1,2)),Schwierigkeitsstufen!$G$7:$G$19,Schwierigkeitsstufen!$H$7:$H$19)))</f>
        <v/>
      </c>
      <c r="AE71" s="211"/>
      <c r="AG71" s="221" t="str">
        <f t="shared" si="9"/>
        <v/>
      </c>
      <c r="AH71" s="222" t="str">
        <f t="shared" si="11"/>
        <v/>
      </c>
      <c r="AI71" s="220">
        <f t="shared" ref="AI71:AI134" si="16">MATCH(AH71,AH:AH,0)</f>
        <v>4</v>
      </c>
      <c r="AJ71" s="222">
        <f t="shared" si="12"/>
        <v>0</v>
      </c>
      <c r="AK71" s="299" t="str">
        <f>IF(ISERROR(LOOKUP(E71,WKNrListe,Übersicht!$R$7:$R$46)),"-",LOOKUP(E71,WKNrListe,Übersicht!$R$7:$R$46))</f>
        <v>-</v>
      </c>
      <c r="AL71" s="299" t="str">
        <f t="shared" si="15"/>
        <v>-</v>
      </c>
      <c r="AM71" s="303"/>
      <c r="AN71" s="174" t="str">
        <f t="shared" si="8"/>
        <v>Leer</v>
      </c>
    </row>
    <row r="72" spans="1:40" s="174" customFormat="1" ht="15" customHeight="1">
      <c r="A72" s="63"/>
      <c r="B72" s="63"/>
      <c r="C72" s="84"/>
      <c r="D72" s="85"/>
      <c r="E72" s="62"/>
      <c r="F72" s="62"/>
      <c r="G72" s="62"/>
      <c r="H72" s="62"/>
      <c r="I72" s="62"/>
      <c r="J72" s="62"/>
      <c r="K72" s="62"/>
      <c r="L72" s="62"/>
      <c r="M72" s="62"/>
      <c r="N72" s="62"/>
      <c r="O72" s="62"/>
      <c r="P72" s="62"/>
      <c r="Q72" s="62"/>
      <c r="R72" s="62"/>
      <c r="S72" s="258"/>
      <c r="T72" s="248" t="str">
        <f t="shared" si="13"/>
        <v/>
      </c>
      <c r="U72" s="249" t="str">
        <f t="shared" si="14"/>
        <v/>
      </c>
      <c r="V72" s="294" t="str">
        <f t="shared" si="10"/>
        <v/>
      </c>
      <c r="W72" s="294" t="str">
        <f>IF(((E72="")+(F72="")),"",IF(VLOOKUP(F72,Mannschaften!$A$1:$B$54,2,FALSE)&lt;&gt;E72,"Reiter Mannschaften füllen",""))</f>
        <v/>
      </c>
      <c r="X72" s="248" t="str">
        <f>IF(ISBLANK(C72),"",IF((U72&gt;(LOOKUP(E72,WKNrListe,Übersicht!$O$7:$O$46)))+(U72&lt;(LOOKUP(E72,WKNrListe,Übersicht!$P$7:$P$46))),"JG falsch",""))</f>
        <v/>
      </c>
      <c r="Y72" s="255" t="str">
        <f>IF((A72="")*(B72=""),"",IF(ISERROR(MATCH(E72,WKNrListe,0)),"WK falsch",LOOKUP(E72,WKNrListe,Übersicht!$B$7:$B$46)))</f>
        <v/>
      </c>
      <c r="Z72" s="269" t="str">
        <f>IF(((AJ72=0)*(AH72&lt;&gt;"")*(AK72="-"))+((AJ72&lt;&gt;0)*(AH72&lt;&gt;"")*(AK72="-")),IF(AG72="X",Übersicht!$C$70,Übersicht!$C$69),"-")</f>
        <v>-</v>
      </c>
      <c r="AA72" s="252" t="str">
        <f>IF((($A72="")*($B72=""))+((MID($Y72,1,4)&lt;&gt;"Wahl")*(Deckblatt!$C$14='WK-Vorlagen'!$C$82))+(Deckblatt!$C$14&lt;&gt;'WK-Vorlagen'!$C$82),"",IF(ISERROR(MATCH(VALUE(MID(G72,1,2)),Schwierigkeitsstufen!$G$7:$G$19,0)),"Gerät falsch",LOOKUP(VALUE(MID(G72,1,2)),Schwierigkeitsstufen!$G$7:$G$19,Schwierigkeitsstufen!$H$7:$H$19)))</f>
        <v/>
      </c>
      <c r="AB72" s="250" t="str">
        <f>IF((($A72="")*($B72=""))+((MID($Y72,1,4)&lt;&gt;"Wahl")*(Deckblatt!$C$14='WK-Vorlagen'!$C$82))+(Deckblatt!$C$14&lt;&gt;'WK-Vorlagen'!$C$82),"",IF(ISERROR(MATCH(VALUE(MID(H72,1,2)),Schwierigkeitsstufen!$G$7:$G$19,0)),"Gerät falsch",LOOKUP(VALUE(MID(H72,1,2)),Schwierigkeitsstufen!$G$7:$G$19,Schwierigkeitsstufen!$H$7:$H$19)))</f>
        <v/>
      </c>
      <c r="AC72" s="250" t="str">
        <f>IF((($A72="")*($B72=""))+((MID($Y72,1,4)&lt;&gt;"Wahl")*(Deckblatt!$C$14='WK-Vorlagen'!$C$82))+(Deckblatt!$C$14&lt;&gt;'WK-Vorlagen'!$C$82),"",IF(ISERROR(MATCH(VALUE(MID(I72,1,2)),Schwierigkeitsstufen!$G$7:$G$19,0)),"Gerät falsch",LOOKUP(VALUE(MID(I72,1,2)),Schwierigkeitsstufen!$G$7:$G$19,Schwierigkeitsstufen!$H$7:$H$19)))</f>
        <v/>
      </c>
      <c r="AD72" s="251" t="str">
        <f>IF((($A72="")*($B72=""))+((MID($Y72,1,4)&lt;&gt;"Wahl")*(Deckblatt!$C$14='WK-Vorlagen'!$C$82))+(Deckblatt!$C$14&lt;&gt;'WK-Vorlagen'!$C$82),"",IF(ISERROR(MATCH(VALUE(MID(J72,1,2)),Schwierigkeitsstufen!$G$7:$G$19,0)),"Gerät falsch",LOOKUP(VALUE(MID(J72,1,2)),Schwierigkeitsstufen!$G$7:$G$19,Schwierigkeitsstufen!$H$7:$H$19)))</f>
        <v/>
      </c>
      <c r="AE72" s="211"/>
      <c r="AG72" s="221" t="str">
        <f t="shared" si="9"/>
        <v/>
      </c>
      <c r="AH72" s="222" t="str">
        <f t="shared" si="11"/>
        <v/>
      </c>
      <c r="AI72" s="220">
        <f t="shared" si="16"/>
        <v>4</v>
      </c>
      <c r="AJ72" s="222">
        <f t="shared" si="12"/>
        <v>0</v>
      </c>
      <c r="AK72" s="299" t="str">
        <f>IF(ISERROR(LOOKUP(E72,WKNrListe,Übersicht!$R$7:$R$46)),"-",LOOKUP(E72,WKNrListe,Übersicht!$R$7:$R$46))</f>
        <v>-</v>
      </c>
      <c r="AL72" s="299" t="str">
        <f t="shared" si="15"/>
        <v>-</v>
      </c>
      <c r="AM72" s="303"/>
      <c r="AN72" s="174" t="str">
        <f t="shared" si="8"/>
        <v>Leer</v>
      </c>
    </row>
    <row r="73" spans="1:40" s="174" customFormat="1" ht="15" customHeight="1">
      <c r="A73" s="63"/>
      <c r="B73" s="63"/>
      <c r="C73" s="84"/>
      <c r="D73" s="85"/>
      <c r="E73" s="62"/>
      <c r="F73" s="62"/>
      <c r="G73" s="62"/>
      <c r="H73" s="62"/>
      <c r="I73" s="62"/>
      <c r="J73" s="62"/>
      <c r="K73" s="62"/>
      <c r="L73" s="62"/>
      <c r="M73" s="62"/>
      <c r="N73" s="62"/>
      <c r="O73" s="62"/>
      <c r="P73" s="62"/>
      <c r="Q73" s="62"/>
      <c r="R73" s="62"/>
      <c r="S73" s="258"/>
      <c r="T73" s="248" t="str">
        <f t="shared" si="13"/>
        <v/>
      </c>
      <c r="U73" s="249" t="str">
        <f t="shared" si="14"/>
        <v/>
      </c>
      <c r="V73" s="294" t="str">
        <f t="shared" si="10"/>
        <v/>
      </c>
      <c r="W73" s="294" t="str">
        <f>IF(((E73="")+(F73="")),"",IF(VLOOKUP(F73,Mannschaften!$A$1:$B$54,2,FALSE)&lt;&gt;E73,"Reiter Mannschaften füllen",""))</f>
        <v/>
      </c>
      <c r="X73" s="248" t="str">
        <f>IF(ISBLANK(C73),"",IF((U73&gt;(LOOKUP(E73,WKNrListe,Übersicht!$O$7:$O$46)))+(U73&lt;(LOOKUP(E73,WKNrListe,Übersicht!$P$7:$P$46))),"JG falsch",""))</f>
        <v/>
      </c>
      <c r="Y73" s="255" t="str">
        <f>IF((A73="")*(B73=""),"",IF(ISERROR(MATCH(E73,WKNrListe,0)),"WK falsch",LOOKUP(E73,WKNrListe,Übersicht!$B$7:$B$46)))</f>
        <v/>
      </c>
      <c r="Z73" s="269" t="str">
        <f>IF(((AJ73=0)*(AH73&lt;&gt;"")*(AK73="-"))+((AJ73&lt;&gt;0)*(AH73&lt;&gt;"")*(AK73="-")),IF(AG73="X",Übersicht!$C$70,Übersicht!$C$69),"-")</f>
        <v>-</v>
      </c>
      <c r="AA73" s="252" t="str">
        <f>IF((($A73="")*($B73=""))+((MID($Y73,1,4)&lt;&gt;"Wahl")*(Deckblatt!$C$14='WK-Vorlagen'!$C$82))+(Deckblatt!$C$14&lt;&gt;'WK-Vorlagen'!$C$82),"",IF(ISERROR(MATCH(VALUE(MID(G73,1,2)),Schwierigkeitsstufen!$G$7:$G$19,0)),"Gerät falsch",LOOKUP(VALUE(MID(G73,1,2)),Schwierigkeitsstufen!$G$7:$G$19,Schwierigkeitsstufen!$H$7:$H$19)))</f>
        <v/>
      </c>
      <c r="AB73" s="250" t="str">
        <f>IF((($A73="")*($B73=""))+((MID($Y73,1,4)&lt;&gt;"Wahl")*(Deckblatt!$C$14='WK-Vorlagen'!$C$82))+(Deckblatt!$C$14&lt;&gt;'WK-Vorlagen'!$C$82),"",IF(ISERROR(MATCH(VALUE(MID(H73,1,2)),Schwierigkeitsstufen!$G$7:$G$19,0)),"Gerät falsch",LOOKUP(VALUE(MID(H73,1,2)),Schwierigkeitsstufen!$G$7:$G$19,Schwierigkeitsstufen!$H$7:$H$19)))</f>
        <v/>
      </c>
      <c r="AC73" s="250" t="str">
        <f>IF((($A73="")*($B73=""))+((MID($Y73,1,4)&lt;&gt;"Wahl")*(Deckblatt!$C$14='WK-Vorlagen'!$C$82))+(Deckblatt!$C$14&lt;&gt;'WK-Vorlagen'!$C$82),"",IF(ISERROR(MATCH(VALUE(MID(I73,1,2)),Schwierigkeitsstufen!$G$7:$G$19,0)),"Gerät falsch",LOOKUP(VALUE(MID(I73,1,2)),Schwierigkeitsstufen!$G$7:$G$19,Schwierigkeitsstufen!$H$7:$H$19)))</f>
        <v/>
      </c>
      <c r="AD73" s="251" t="str">
        <f>IF((($A73="")*($B73=""))+((MID($Y73,1,4)&lt;&gt;"Wahl")*(Deckblatt!$C$14='WK-Vorlagen'!$C$82))+(Deckblatt!$C$14&lt;&gt;'WK-Vorlagen'!$C$82),"",IF(ISERROR(MATCH(VALUE(MID(J73,1,2)),Schwierigkeitsstufen!$G$7:$G$19,0)),"Gerät falsch",LOOKUP(VALUE(MID(J73,1,2)),Schwierigkeitsstufen!$G$7:$G$19,Schwierigkeitsstufen!$H$7:$H$19)))</f>
        <v/>
      </c>
      <c r="AE73" s="211"/>
      <c r="AG73" s="221" t="str">
        <f t="shared" si="9"/>
        <v/>
      </c>
      <c r="AH73" s="222" t="str">
        <f t="shared" si="11"/>
        <v/>
      </c>
      <c r="AI73" s="220">
        <f t="shared" si="16"/>
        <v>4</v>
      </c>
      <c r="AJ73" s="222">
        <f t="shared" si="12"/>
        <v>0</v>
      </c>
      <c r="AK73" s="299" t="str">
        <f>IF(ISERROR(LOOKUP(E73,WKNrListe,Übersicht!$R$7:$R$46)),"-",LOOKUP(E73,WKNrListe,Übersicht!$R$7:$R$46))</f>
        <v>-</v>
      </c>
      <c r="AL73" s="299" t="str">
        <f t="shared" si="15"/>
        <v>-</v>
      </c>
      <c r="AM73" s="303"/>
      <c r="AN73" s="174" t="str">
        <f t="shared" si="8"/>
        <v>Leer</v>
      </c>
    </row>
    <row r="74" spans="1:40" s="174" customFormat="1" ht="15" customHeight="1">
      <c r="A74" s="63"/>
      <c r="B74" s="63"/>
      <c r="C74" s="84"/>
      <c r="D74" s="85"/>
      <c r="E74" s="62"/>
      <c r="F74" s="62"/>
      <c r="G74" s="62"/>
      <c r="H74" s="62"/>
      <c r="I74" s="62"/>
      <c r="J74" s="62"/>
      <c r="K74" s="62"/>
      <c r="L74" s="62"/>
      <c r="M74" s="62"/>
      <c r="N74" s="62"/>
      <c r="O74" s="62"/>
      <c r="P74" s="62"/>
      <c r="Q74" s="62"/>
      <c r="R74" s="62"/>
      <c r="S74" s="258"/>
      <c r="T74" s="248" t="str">
        <f t="shared" si="13"/>
        <v/>
      </c>
      <c r="U74" s="249" t="str">
        <f t="shared" si="14"/>
        <v/>
      </c>
      <c r="V74" s="294" t="str">
        <f t="shared" si="10"/>
        <v/>
      </c>
      <c r="W74" s="294" t="str">
        <f>IF(((E74="")+(F74="")),"",IF(VLOOKUP(F74,Mannschaften!$A$1:$B$54,2,FALSE)&lt;&gt;E74,"Reiter Mannschaften füllen",""))</f>
        <v/>
      </c>
      <c r="X74" s="248" t="str">
        <f>IF(ISBLANK(C74),"",IF((U74&gt;(LOOKUP(E74,WKNrListe,Übersicht!$O$7:$O$46)))+(U74&lt;(LOOKUP(E74,WKNrListe,Übersicht!$P$7:$P$46))),"JG falsch",""))</f>
        <v/>
      </c>
      <c r="Y74" s="255" t="str">
        <f>IF((A74="")*(B74=""),"",IF(ISERROR(MATCH(E74,WKNrListe,0)),"WK falsch",LOOKUP(E74,WKNrListe,Übersicht!$B$7:$B$46)))</f>
        <v/>
      </c>
      <c r="Z74" s="269" t="str">
        <f>IF(((AJ74=0)*(AH74&lt;&gt;"")*(AK74="-"))+((AJ74&lt;&gt;0)*(AH74&lt;&gt;"")*(AK74="-")),IF(AG74="X",Übersicht!$C$70,Übersicht!$C$69),"-")</f>
        <v>-</v>
      </c>
      <c r="AA74" s="252" t="str">
        <f>IF((($A74="")*($B74=""))+((MID($Y74,1,4)&lt;&gt;"Wahl")*(Deckblatt!$C$14='WK-Vorlagen'!$C$82))+(Deckblatt!$C$14&lt;&gt;'WK-Vorlagen'!$C$82),"",IF(ISERROR(MATCH(VALUE(MID(G74,1,2)),Schwierigkeitsstufen!$G$7:$G$19,0)),"Gerät falsch",LOOKUP(VALUE(MID(G74,1,2)),Schwierigkeitsstufen!$G$7:$G$19,Schwierigkeitsstufen!$H$7:$H$19)))</f>
        <v/>
      </c>
      <c r="AB74" s="250" t="str">
        <f>IF((($A74="")*($B74=""))+((MID($Y74,1,4)&lt;&gt;"Wahl")*(Deckblatt!$C$14='WK-Vorlagen'!$C$82))+(Deckblatt!$C$14&lt;&gt;'WK-Vorlagen'!$C$82),"",IF(ISERROR(MATCH(VALUE(MID(H74,1,2)),Schwierigkeitsstufen!$G$7:$G$19,0)),"Gerät falsch",LOOKUP(VALUE(MID(H74,1,2)),Schwierigkeitsstufen!$G$7:$G$19,Schwierigkeitsstufen!$H$7:$H$19)))</f>
        <v/>
      </c>
      <c r="AC74" s="250" t="str">
        <f>IF((($A74="")*($B74=""))+((MID($Y74,1,4)&lt;&gt;"Wahl")*(Deckblatt!$C$14='WK-Vorlagen'!$C$82))+(Deckblatt!$C$14&lt;&gt;'WK-Vorlagen'!$C$82),"",IF(ISERROR(MATCH(VALUE(MID(I74,1,2)),Schwierigkeitsstufen!$G$7:$G$19,0)),"Gerät falsch",LOOKUP(VALUE(MID(I74,1,2)),Schwierigkeitsstufen!$G$7:$G$19,Schwierigkeitsstufen!$H$7:$H$19)))</f>
        <v/>
      </c>
      <c r="AD74" s="251" t="str">
        <f>IF((($A74="")*($B74=""))+((MID($Y74,1,4)&lt;&gt;"Wahl")*(Deckblatt!$C$14='WK-Vorlagen'!$C$82))+(Deckblatt!$C$14&lt;&gt;'WK-Vorlagen'!$C$82),"",IF(ISERROR(MATCH(VALUE(MID(J74,1,2)),Schwierigkeitsstufen!$G$7:$G$19,0)),"Gerät falsch",LOOKUP(VALUE(MID(J74,1,2)),Schwierigkeitsstufen!$G$7:$G$19,Schwierigkeitsstufen!$H$7:$H$19)))</f>
        <v/>
      </c>
      <c r="AE74" s="211"/>
      <c r="AG74" s="221" t="str">
        <f t="shared" si="9"/>
        <v/>
      </c>
      <c r="AH74" s="222" t="str">
        <f t="shared" si="11"/>
        <v/>
      </c>
      <c r="AI74" s="220">
        <f t="shared" si="16"/>
        <v>4</v>
      </c>
      <c r="AJ74" s="222">
        <f t="shared" si="12"/>
        <v>0</v>
      </c>
      <c r="AK74" s="299" t="str">
        <f>IF(ISERROR(LOOKUP(E74,WKNrListe,Übersicht!$R$7:$R$46)),"-",LOOKUP(E74,WKNrListe,Übersicht!$R$7:$R$46))</f>
        <v>-</v>
      </c>
      <c r="AL74" s="299" t="str">
        <f t="shared" si="15"/>
        <v>-</v>
      </c>
      <c r="AM74" s="303"/>
      <c r="AN74" s="174" t="str">
        <f t="shared" si="8"/>
        <v>Leer</v>
      </c>
    </row>
    <row r="75" spans="1:40" s="174" customFormat="1" ht="15" customHeight="1">
      <c r="A75" s="63"/>
      <c r="B75" s="63"/>
      <c r="C75" s="84"/>
      <c r="D75" s="85"/>
      <c r="E75" s="62"/>
      <c r="F75" s="62"/>
      <c r="G75" s="62"/>
      <c r="H75" s="62"/>
      <c r="I75" s="62"/>
      <c r="J75" s="62"/>
      <c r="K75" s="62"/>
      <c r="L75" s="62"/>
      <c r="M75" s="62"/>
      <c r="N75" s="62"/>
      <c r="O75" s="62"/>
      <c r="P75" s="62"/>
      <c r="Q75" s="62"/>
      <c r="R75" s="62"/>
      <c r="S75" s="258"/>
      <c r="T75" s="248" t="str">
        <f t="shared" si="13"/>
        <v/>
      </c>
      <c r="U75" s="249" t="str">
        <f t="shared" si="14"/>
        <v/>
      </c>
      <c r="V75" s="294" t="str">
        <f t="shared" si="10"/>
        <v/>
      </c>
      <c r="W75" s="294" t="str">
        <f>IF(((E75="")+(F75="")),"",IF(VLOOKUP(F75,Mannschaften!$A$1:$B$54,2,FALSE)&lt;&gt;E75,"Reiter Mannschaften füllen",""))</f>
        <v/>
      </c>
      <c r="X75" s="248" t="str">
        <f>IF(ISBLANK(C75),"",IF((U75&gt;(LOOKUP(E75,WKNrListe,Übersicht!$O$7:$O$46)))+(U75&lt;(LOOKUP(E75,WKNrListe,Übersicht!$P$7:$P$46))),"JG falsch",""))</f>
        <v/>
      </c>
      <c r="Y75" s="255" t="str">
        <f>IF((A75="")*(B75=""),"",IF(ISERROR(MATCH(E75,WKNrListe,0)),"WK falsch",LOOKUP(E75,WKNrListe,Übersicht!$B$7:$B$46)))</f>
        <v/>
      </c>
      <c r="Z75" s="269" t="str">
        <f>IF(((AJ75=0)*(AH75&lt;&gt;"")*(AK75="-"))+((AJ75&lt;&gt;0)*(AH75&lt;&gt;"")*(AK75="-")),IF(AG75="X",Übersicht!$C$70,Übersicht!$C$69),"-")</f>
        <v>-</v>
      </c>
      <c r="AA75" s="252" t="str">
        <f>IF((($A75="")*($B75=""))+((MID($Y75,1,4)&lt;&gt;"Wahl")*(Deckblatt!$C$14='WK-Vorlagen'!$C$82))+(Deckblatt!$C$14&lt;&gt;'WK-Vorlagen'!$C$82),"",IF(ISERROR(MATCH(VALUE(MID(G75,1,2)),Schwierigkeitsstufen!$G$7:$G$19,0)),"Gerät falsch",LOOKUP(VALUE(MID(G75,1,2)),Schwierigkeitsstufen!$G$7:$G$19,Schwierigkeitsstufen!$H$7:$H$19)))</f>
        <v/>
      </c>
      <c r="AB75" s="250" t="str">
        <f>IF((($A75="")*($B75=""))+((MID($Y75,1,4)&lt;&gt;"Wahl")*(Deckblatt!$C$14='WK-Vorlagen'!$C$82))+(Deckblatt!$C$14&lt;&gt;'WK-Vorlagen'!$C$82),"",IF(ISERROR(MATCH(VALUE(MID(H75,1,2)),Schwierigkeitsstufen!$G$7:$G$19,0)),"Gerät falsch",LOOKUP(VALUE(MID(H75,1,2)),Schwierigkeitsstufen!$G$7:$G$19,Schwierigkeitsstufen!$H$7:$H$19)))</f>
        <v/>
      </c>
      <c r="AC75" s="250" t="str">
        <f>IF((($A75="")*($B75=""))+((MID($Y75,1,4)&lt;&gt;"Wahl")*(Deckblatt!$C$14='WK-Vorlagen'!$C$82))+(Deckblatt!$C$14&lt;&gt;'WK-Vorlagen'!$C$82),"",IF(ISERROR(MATCH(VALUE(MID(I75,1,2)),Schwierigkeitsstufen!$G$7:$G$19,0)),"Gerät falsch",LOOKUP(VALUE(MID(I75,1,2)),Schwierigkeitsstufen!$G$7:$G$19,Schwierigkeitsstufen!$H$7:$H$19)))</f>
        <v/>
      </c>
      <c r="AD75" s="251" t="str">
        <f>IF((($A75="")*($B75=""))+((MID($Y75,1,4)&lt;&gt;"Wahl")*(Deckblatt!$C$14='WK-Vorlagen'!$C$82))+(Deckblatt!$C$14&lt;&gt;'WK-Vorlagen'!$C$82),"",IF(ISERROR(MATCH(VALUE(MID(J75,1,2)),Schwierigkeitsstufen!$G$7:$G$19,0)),"Gerät falsch",LOOKUP(VALUE(MID(J75,1,2)),Schwierigkeitsstufen!$G$7:$G$19,Schwierigkeitsstufen!$H$7:$H$19)))</f>
        <v/>
      </c>
      <c r="AE75" s="211"/>
      <c r="AG75" s="221" t="str">
        <f t="shared" si="9"/>
        <v/>
      </c>
      <c r="AH75" s="222" t="str">
        <f t="shared" si="11"/>
        <v/>
      </c>
      <c r="AI75" s="220">
        <f t="shared" si="16"/>
        <v>4</v>
      </c>
      <c r="AJ75" s="222">
        <f t="shared" si="12"/>
        <v>0</v>
      </c>
      <c r="AK75" s="299" t="str">
        <f>IF(ISERROR(LOOKUP(E75,WKNrListe,Übersicht!$R$7:$R$46)),"-",LOOKUP(E75,WKNrListe,Übersicht!$R$7:$R$46))</f>
        <v>-</v>
      </c>
      <c r="AL75" s="299" t="str">
        <f t="shared" si="15"/>
        <v>-</v>
      </c>
      <c r="AM75" s="303"/>
      <c r="AN75" s="174" t="str">
        <f t="shared" si="8"/>
        <v>Leer</v>
      </c>
    </row>
    <row r="76" spans="1:40" s="174" customFormat="1" ht="15" customHeight="1">
      <c r="A76" s="63"/>
      <c r="B76" s="63"/>
      <c r="C76" s="84"/>
      <c r="D76" s="85"/>
      <c r="E76" s="62"/>
      <c r="F76" s="62"/>
      <c r="G76" s="62"/>
      <c r="H76" s="62"/>
      <c r="I76" s="62"/>
      <c r="J76" s="62"/>
      <c r="K76" s="62"/>
      <c r="L76" s="62"/>
      <c r="M76" s="62"/>
      <c r="N76" s="62"/>
      <c r="O76" s="62"/>
      <c r="P76" s="62"/>
      <c r="Q76" s="62"/>
      <c r="R76" s="62"/>
      <c r="S76" s="258"/>
      <c r="T76" s="248" t="str">
        <f t="shared" si="13"/>
        <v/>
      </c>
      <c r="U76" s="249" t="str">
        <f t="shared" si="14"/>
        <v/>
      </c>
      <c r="V76" s="294" t="str">
        <f t="shared" si="10"/>
        <v/>
      </c>
      <c r="W76" s="294" t="str">
        <f>IF(((E76="")+(F76="")),"",IF(VLOOKUP(F76,Mannschaften!$A$1:$B$54,2,FALSE)&lt;&gt;E76,"Reiter Mannschaften füllen",""))</f>
        <v/>
      </c>
      <c r="X76" s="248" t="str">
        <f>IF(ISBLANK(C76),"",IF((U76&gt;(LOOKUP(E76,WKNrListe,Übersicht!$O$7:$O$46)))+(U76&lt;(LOOKUP(E76,WKNrListe,Übersicht!$P$7:$P$46))),"JG falsch",""))</f>
        <v/>
      </c>
      <c r="Y76" s="255" t="str">
        <f>IF((A76="")*(B76=""),"",IF(ISERROR(MATCH(E76,WKNrListe,0)),"WK falsch",LOOKUP(E76,WKNrListe,Übersicht!$B$7:$B$46)))</f>
        <v/>
      </c>
      <c r="Z76" s="269" t="str">
        <f>IF(((AJ76=0)*(AH76&lt;&gt;"")*(AK76="-"))+((AJ76&lt;&gt;0)*(AH76&lt;&gt;"")*(AK76="-")),IF(AG76="X",Übersicht!$C$70,Übersicht!$C$69),"-")</f>
        <v>-</v>
      </c>
      <c r="AA76" s="252" t="str">
        <f>IF((($A76="")*($B76=""))+((MID($Y76,1,4)&lt;&gt;"Wahl")*(Deckblatt!$C$14='WK-Vorlagen'!$C$82))+(Deckblatt!$C$14&lt;&gt;'WK-Vorlagen'!$C$82),"",IF(ISERROR(MATCH(VALUE(MID(G76,1,2)),Schwierigkeitsstufen!$G$7:$G$19,0)),"Gerät falsch",LOOKUP(VALUE(MID(G76,1,2)),Schwierigkeitsstufen!$G$7:$G$19,Schwierigkeitsstufen!$H$7:$H$19)))</f>
        <v/>
      </c>
      <c r="AB76" s="250" t="str">
        <f>IF((($A76="")*($B76=""))+((MID($Y76,1,4)&lt;&gt;"Wahl")*(Deckblatt!$C$14='WK-Vorlagen'!$C$82))+(Deckblatt!$C$14&lt;&gt;'WK-Vorlagen'!$C$82),"",IF(ISERROR(MATCH(VALUE(MID(H76,1,2)),Schwierigkeitsstufen!$G$7:$G$19,0)),"Gerät falsch",LOOKUP(VALUE(MID(H76,1,2)),Schwierigkeitsstufen!$G$7:$G$19,Schwierigkeitsstufen!$H$7:$H$19)))</f>
        <v/>
      </c>
      <c r="AC76" s="250" t="str">
        <f>IF((($A76="")*($B76=""))+((MID($Y76,1,4)&lt;&gt;"Wahl")*(Deckblatt!$C$14='WK-Vorlagen'!$C$82))+(Deckblatt!$C$14&lt;&gt;'WK-Vorlagen'!$C$82),"",IF(ISERROR(MATCH(VALUE(MID(I76,1,2)),Schwierigkeitsstufen!$G$7:$G$19,0)),"Gerät falsch",LOOKUP(VALUE(MID(I76,1,2)),Schwierigkeitsstufen!$G$7:$G$19,Schwierigkeitsstufen!$H$7:$H$19)))</f>
        <v/>
      </c>
      <c r="AD76" s="251" t="str">
        <f>IF((($A76="")*($B76=""))+((MID($Y76,1,4)&lt;&gt;"Wahl")*(Deckblatt!$C$14='WK-Vorlagen'!$C$82))+(Deckblatt!$C$14&lt;&gt;'WK-Vorlagen'!$C$82),"",IF(ISERROR(MATCH(VALUE(MID(J76,1,2)),Schwierigkeitsstufen!$G$7:$G$19,0)),"Gerät falsch",LOOKUP(VALUE(MID(J76,1,2)),Schwierigkeitsstufen!$G$7:$G$19,Schwierigkeitsstufen!$H$7:$H$19)))</f>
        <v/>
      </c>
      <c r="AE76" s="211"/>
      <c r="AG76" s="221" t="str">
        <f t="shared" si="9"/>
        <v/>
      </c>
      <c r="AH76" s="222" t="str">
        <f t="shared" si="11"/>
        <v/>
      </c>
      <c r="AI76" s="220">
        <f t="shared" si="16"/>
        <v>4</v>
      </c>
      <c r="AJ76" s="222">
        <f t="shared" si="12"/>
        <v>0</v>
      </c>
      <c r="AK76" s="299" t="str">
        <f>IF(ISERROR(LOOKUP(E76,WKNrListe,Übersicht!$R$7:$R$46)),"-",LOOKUP(E76,WKNrListe,Übersicht!$R$7:$R$46))</f>
        <v>-</v>
      </c>
      <c r="AL76" s="299" t="str">
        <f t="shared" si="15"/>
        <v>-</v>
      </c>
      <c r="AM76" s="303"/>
      <c r="AN76" s="174" t="str">
        <f t="shared" si="8"/>
        <v>Leer</v>
      </c>
    </row>
    <row r="77" spans="1:40" s="174" customFormat="1" ht="15" customHeight="1">
      <c r="A77" s="63"/>
      <c r="B77" s="63"/>
      <c r="C77" s="84"/>
      <c r="D77" s="85"/>
      <c r="E77" s="62"/>
      <c r="F77" s="62"/>
      <c r="G77" s="62"/>
      <c r="H77" s="62"/>
      <c r="I77" s="62"/>
      <c r="J77" s="62"/>
      <c r="K77" s="62"/>
      <c r="L77" s="62"/>
      <c r="M77" s="62"/>
      <c r="N77" s="62"/>
      <c r="O77" s="62"/>
      <c r="P77" s="62"/>
      <c r="Q77" s="62"/>
      <c r="R77" s="62"/>
      <c r="S77" s="258"/>
      <c r="T77" s="248" t="str">
        <f t="shared" si="13"/>
        <v/>
      </c>
      <c r="U77" s="249" t="str">
        <f t="shared" si="14"/>
        <v/>
      </c>
      <c r="V77" s="294" t="str">
        <f t="shared" si="10"/>
        <v/>
      </c>
      <c r="W77" s="294" t="str">
        <f>IF(((E77="")+(F77="")),"",IF(VLOOKUP(F77,Mannschaften!$A$1:$B$54,2,FALSE)&lt;&gt;E77,"Reiter Mannschaften füllen",""))</f>
        <v/>
      </c>
      <c r="X77" s="248" t="str">
        <f>IF(ISBLANK(C77),"",IF((U77&gt;(LOOKUP(E77,WKNrListe,Übersicht!$O$7:$O$46)))+(U77&lt;(LOOKUP(E77,WKNrListe,Übersicht!$P$7:$P$46))),"JG falsch",""))</f>
        <v/>
      </c>
      <c r="Y77" s="255" t="str">
        <f>IF((A77="")*(B77=""),"",IF(ISERROR(MATCH(E77,WKNrListe,0)),"WK falsch",LOOKUP(E77,WKNrListe,Übersicht!$B$7:$B$46)))</f>
        <v/>
      </c>
      <c r="Z77" s="269" t="str">
        <f>IF(((AJ77=0)*(AH77&lt;&gt;"")*(AK77="-"))+((AJ77&lt;&gt;0)*(AH77&lt;&gt;"")*(AK77="-")),IF(AG77="X",Übersicht!$C$70,Übersicht!$C$69),"-")</f>
        <v>-</v>
      </c>
      <c r="AA77" s="252" t="str">
        <f>IF((($A77="")*($B77=""))+((MID($Y77,1,4)&lt;&gt;"Wahl")*(Deckblatt!$C$14='WK-Vorlagen'!$C$82))+(Deckblatt!$C$14&lt;&gt;'WK-Vorlagen'!$C$82),"",IF(ISERROR(MATCH(VALUE(MID(G77,1,2)),Schwierigkeitsstufen!$G$7:$G$19,0)),"Gerät falsch",LOOKUP(VALUE(MID(G77,1,2)),Schwierigkeitsstufen!$G$7:$G$19,Schwierigkeitsstufen!$H$7:$H$19)))</f>
        <v/>
      </c>
      <c r="AB77" s="250" t="str">
        <f>IF((($A77="")*($B77=""))+((MID($Y77,1,4)&lt;&gt;"Wahl")*(Deckblatt!$C$14='WK-Vorlagen'!$C$82))+(Deckblatt!$C$14&lt;&gt;'WK-Vorlagen'!$C$82),"",IF(ISERROR(MATCH(VALUE(MID(H77,1,2)),Schwierigkeitsstufen!$G$7:$G$19,0)),"Gerät falsch",LOOKUP(VALUE(MID(H77,1,2)),Schwierigkeitsstufen!$G$7:$G$19,Schwierigkeitsstufen!$H$7:$H$19)))</f>
        <v/>
      </c>
      <c r="AC77" s="250" t="str">
        <f>IF((($A77="")*($B77=""))+((MID($Y77,1,4)&lt;&gt;"Wahl")*(Deckblatt!$C$14='WK-Vorlagen'!$C$82))+(Deckblatt!$C$14&lt;&gt;'WK-Vorlagen'!$C$82),"",IF(ISERROR(MATCH(VALUE(MID(I77,1,2)),Schwierigkeitsstufen!$G$7:$G$19,0)),"Gerät falsch",LOOKUP(VALUE(MID(I77,1,2)),Schwierigkeitsstufen!$G$7:$G$19,Schwierigkeitsstufen!$H$7:$H$19)))</f>
        <v/>
      </c>
      <c r="AD77" s="251" t="str">
        <f>IF((($A77="")*($B77=""))+((MID($Y77,1,4)&lt;&gt;"Wahl")*(Deckblatt!$C$14='WK-Vorlagen'!$C$82))+(Deckblatt!$C$14&lt;&gt;'WK-Vorlagen'!$C$82),"",IF(ISERROR(MATCH(VALUE(MID(J77,1,2)),Schwierigkeitsstufen!$G$7:$G$19,0)),"Gerät falsch",LOOKUP(VALUE(MID(J77,1,2)),Schwierigkeitsstufen!$G$7:$G$19,Schwierigkeitsstufen!$H$7:$H$19)))</f>
        <v/>
      </c>
      <c r="AE77" s="211"/>
      <c r="AG77" s="221" t="str">
        <f t="shared" si="9"/>
        <v/>
      </c>
      <c r="AH77" s="222" t="str">
        <f t="shared" si="11"/>
        <v/>
      </c>
      <c r="AI77" s="220">
        <f t="shared" si="16"/>
        <v>4</v>
      </c>
      <c r="AJ77" s="222">
        <f t="shared" si="12"/>
        <v>0</v>
      </c>
      <c r="AK77" s="299" t="str">
        <f>IF(ISERROR(LOOKUP(E77,WKNrListe,Übersicht!$R$7:$R$46)),"-",LOOKUP(E77,WKNrListe,Übersicht!$R$7:$R$46))</f>
        <v>-</v>
      </c>
      <c r="AL77" s="299" t="str">
        <f t="shared" si="15"/>
        <v>-</v>
      </c>
      <c r="AM77" s="303"/>
      <c r="AN77" s="174" t="str">
        <f t="shared" si="8"/>
        <v>Leer</v>
      </c>
    </row>
    <row r="78" spans="1:40" s="174" customFormat="1" ht="15" customHeight="1">
      <c r="A78" s="63"/>
      <c r="B78" s="63"/>
      <c r="C78" s="84"/>
      <c r="D78" s="85"/>
      <c r="E78" s="62"/>
      <c r="F78" s="62"/>
      <c r="G78" s="62"/>
      <c r="H78" s="62"/>
      <c r="I78" s="62"/>
      <c r="J78" s="62"/>
      <c r="K78" s="62"/>
      <c r="L78" s="62"/>
      <c r="M78" s="62"/>
      <c r="N78" s="62"/>
      <c r="O78" s="62"/>
      <c r="P78" s="62"/>
      <c r="Q78" s="62"/>
      <c r="R78" s="62"/>
      <c r="S78" s="258"/>
      <c r="T78" s="248" t="str">
        <f t="shared" si="13"/>
        <v/>
      </c>
      <c r="U78" s="249" t="str">
        <f t="shared" si="14"/>
        <v/>
      </c>
      <c r="V78" s="294" t="str">
        <f t="shared" si="10"/>
        <v/>
      </c>
      <c r="W78" s="294" t="str">
        <f>IF(((E78="")+(F78="")),"",IF(VLOOKUP(F78,Mannschaften!$A$1:$B$54,2,FALSE)&lt;&gt;E78,"Reiter Mannschaften füllen",""))</f>
        <v/>
      </c>
      <c r="X78" s="248" t="str">
        <f>IF(ISBLANK(C78),"",IF((U78&gt;(LOOKUP(E78,WKNrListe,Übersicht!$O$7:$O$46)))+(U78&lt;(LOOKUP(E78,WKNrListe,Übersicht!$P$7:$P$46))),"JG falsch",""))</f>
        <v/>
      </c>
      <c r="Y78" s="255" t="str">
        <f>IF((A78="")*(B78=""),"",IF(ISERROR(MATCH(E78,WKNrListe,0)),"WK falsch",LOOKUP(E78,WKNrListe,Übersicht!$B$7:$B$46)))</f>
        <v/>
      </c>
      <c r="Z78" s="269" t="str">
        <f>IF(((AJ78=0)*(AH78&lt;&gt;"")*(AK78="-"))+((AJ78&lt;&gt;0)*(AH78&lt;&gt;"")*(AK78="-")),IF(AG78="X",Übersicht!$C$70,Übersicht!$C$69),"-")</f>
        <v>-</v>
      </c>
      <c r="AA78" s="252" t="str">
        <f>IF((($A78="")*($B78=""))+((MID($Y78,1,4)&lt;&gt;"Wahl")*(Deckblatt!$C$14='WK-Vorlagen'!$C$82))+(Deckblatt!$C$14&lt;&gt;'WK-Vorlagen'!$C$82),"",IF(ISERROR(MATCH(VALUE(MID(G78,1,2)),Schwierigkeitsstufen!$G$7:$G$19,0)),"Gerät falsch",LOOKUP(VALUE(MID(G78,1,2)),Schwierigkeitsstufen!$G$7:$G$19,Schwierigkeitsstufen!$H$7:$H$19)))</f>
        <v/>
      </c>
      <c r="AB78" s="250" t="str">
        <f>IF((($A78="")*($B78=""))+((MID($Y78,1,4)&lt;&gt;"Wahl")*(Deckblatt!$C$14='WK-Vorlagen'!$C$82))+(Deckblatt!$C$14&lt;&gt;'WK-Vorlagen'!$C$82),"",IF(ISERROR(MATCH(VALUE(MID(H78,1,2)),Schwierigkeitsstufen!$G$7:$G$19,0)),"Gerät falsch",LOOKUP(VALUE(MID(H78,1,2)),Schwierigkeitsstufen!$G$7:$G$19,Schwierigkeitsstufen!$H$7:$H$19)))</f>
        <v/>
      </c>
      <c r="AC78" s="250" t="str">
        <f>IF((($A78="")*($B78=""))+((MID($Y78,1,4)&lt;&gt;"Wahl")*(Deckblatt!$C$14='WK-Vorlagen'!$C$82))+(Deckblatt!$C$14&lt;&gt;'WK-Vorlagen'!$C$82),"",IF(ISERROR(MATCH(VALUE(MID(I78,1,2)),Schwierigkeitsstufen!$G$7:$G$19,0)),"Gerät falsch",LOOKUP(VALUE(MID(I78,1,2)),Schwierigkeitsstufen!$G$7:$G$19,Schwierigkeitsstufen!$H$7:$H$19)))</f>
        <v/>
      </c>
      <c r="AD78" s="251" t="str">
        <f>IF((($A78="")*($B78=""))+((MID($Y78,1,4)&lt;&gt;"Wahl")*(Deckblatt!$C$14='WK-Vorlagen'!$C$82))+(Deckblatt!$C$14&lt;&gt;'WK-Vorlagen'!$C$82),"",IF(ISERROR(MATCH(VALUE(MID(J78,1,2)),Schwierigkeitsstufen!$G$7:$G$19,0)),"Gerät falsch",LOOKUP(VALUE(MID(J78,1,2)),Schwierigkeitsstufen!$G$7:$G$19,Schwierigkeitsstufen!$H$7:$H$19)))</f>
        <v/>
      </c>
      <c r="AE78" s="211"/>
      <c r="AG78" s="221" t="str">
        <f t="shared" si="9"/>
        <v/>
      </c>
      <c r="AH78" s="222" t="str">
        <f t="shared" si="11"/>
        <v/>
      </c>
      <c r="AI78" s="220">
        <f t="shared" si="16"/>
        <v>4</v>
      </c>
      <c r="AJ78" s="222">
        <f t="shared" si="12"/>
        <v>0</v>
      </c>
      <c r="AK78" s="299" t="str">
        <f>IF(ISERROR(LOOKUP(E78,WKNrListe,Übersicht!$R$7:$R$46)),"-",LOOKUP(E78,WKNrListe,Übersicht!$R$7:$R$46))</f>
        <v>-</v>
      </c>
      <c r="AL78" s="299" t="str">
        <f t="shared" si="15"/>
        <v>-</v>
      </c>
      <c r="AM78" s="303"/>
      <c r="AN78" s="174" t="str">
        <f t="shared" si="8"/>
        <v>Leer</v>
      </c>
    </row>
    <row r="79" spans="1:40" s="174" customFormat="1" ht="15" customHeight="1">
      <c r="A79" s="63"/>
      <c r="B79" s="63"/>
      <c r="C79" s="84"/>
      <c r="D79" s="85"/>
      <c r="E79" s="62"/>
      <c r="F79" s="62"/>
      <c r="G79" s="62"/>
      <c r="H79" s="62"/>
      <c r="I79" s="62"/>
      <c r="J79" s="62"/>
      <c r="K79" s="62"/>
      <c r="L79" s="62"/>
      <c r="M79" s="62"/>
      <c r="N79" s="62"/>
      <c r="O79" s="62"/>
      <c r="P79" s="62"/>
      <c r="Q79" s="62"/>
      <c r="R79" s="62"/>
      <c r="S79" s="258"/>
      <c r="T79" s="248" t="str">
        <f t="shared" si="13"/>
        <v/>
      </c>
      <c r="U79" s="249" t="str">
        <f t="shared" si="14"/>
        <v/>
      </c>
      <c r="V79" s="294" t="str">
        <f t="shared" si="10"/>
        <v/>
      </c>
      <c r="W79" s="294" t="str">
        <f>IF(((E79="")+(F79="")),"",IF(VLOOKUP(F79,Mannschaften!$A$1:$B$54,2,FALSE)&lt;&gt;E79,"Reiter Mannschaften füllen",""))</f>
        <v/>
      </c>
      <c r="X79" s="248" t="str">
        <f>IF(ISBLANK(C79),"",IF((U79&gt;(LOOKUP(E79,WKNrListe,Übersicht!$O$7:$O$46)))+(U79&lt;(LOOKUP(E79,WKNrListe,Übersicht!$P$7:$P$46))),"JG falsch",""))</f>
        <v/>
      </c>
      <c r="Y79" s="255" t="str">
        <f>IF((A79="")*(B79=""),"",IF(ISERROR(MATCH(E79,WKNrListe,0)),"WK falsch",LOOKUP(E79,WKNrListe,Übersicht!$B$7:$B$46)))</f>
        <v/>
      </c>
      <c r="Z79" s="269" t="str">
        <f>IF(((AJ79=0)*(AH79&lt;&gt;"")*(AK79="-"))+((AJ79&lt;&gt;0)*(AH79&lt;&gt;"")*(AK79="-")),IF(AG79="X",Übersicht!$C$70,Übersicht!$C$69),"-")</f>
        <v>-</v>
      </c>
      <c r="AA79" s="252" t="str">
        <f>IF((($A79="")*($B79=""))+((MID($Y79,1,4)&lt;&gt;"Wahl")*(Deckblatt!$C$14='WK-Vorlagen'!$C$82))+(Deckblatt!$C$14&lt;&gt;'WK-Vorlagen'!$C$82),"",IF(ISERROR(MATCH(VALUE(MID(G79,1,2)),Schwierigkeitsstufen!$G$7:$G$19,0)),"Gerät falsch",LOOKUP(VALUE(MID(G79,1,2)),Schwierigkeitsstufen!$G$7:$G$19,Schwierigkeitsstufen!$H$7:$H$19)))</f>
        <v/>
      </c>
      <c r="AB79" s="250" t="str">
        <f>IF((($A79="")*($B79=""))+((MID($Y79,1,4)&lt;&gt;"Wahl")*(Deckblatt!$C$14='WK-Vorlagen'!$C$82))+(Deckblatt!$C$14&lt;&gt;'WK-Vorlagen'!$C$82),"",IF(ISERROR(MATCH(VALUE(MID(H79,1,2)),Schwierigkeitsstufen!$G$7:$G$19,0)),"Gerät falsch",LOOKUP(VALUE(MID(H79,1,2)),Schwierigkeitsstufen!$G$7:$G$19,Schwierigkeitsstufen!$H$7:$H$19)))</f>
        <v/>
      </c>
      <c r="AC79" s="250" t="str">
        <f>IF((($A79="")*($B79=""))+((MID($Y79,1,4)&lt;&gt;"Wahl")*(Deckblatt!$C$14='WK-Vorlagen'!$C$82))+(Deckblatt!$C$14&lt;&gt;'WK-Vorlagen'!$C$82),"",IF(ISERROR(MATCH(VALUE(MID(I79,1,2)),Schwierigkeitsstufen!$G$7:$G$19,0)),"Gerät falsch",LOOKUP(VALUE(MID(I79,1,2)),Schwierigkeitsstufen!$G$7:$G$19,Schwierigkeitsstufen!$H$7:$H$19)))</f>
        <v/>
      </c>
      <c r="AD79" s="251" t="str">
        <f>IF((($A79="")*($B79=""))+((MID($Y79,1,4)&lt;&gt;"Wahl")*(Deckblatt!$C$14='WK-Vorlagen'!$C$82))+(Deckblatt!$C$14&lt;&gt;'WK-Vorlagen'!$C$82),"",IF(ISERROR(MATCH(VALUE(MID(J79,1,2)),Schwierigkeitsstufen!$G$7:$G$19,0)),"Gerät falsch",LOOKUP(VALUE(MID(J79,1,2)),Schwierigkeitsstufen!$G$7:$G$19,Schwierigkeitsstufen!$H$7:$H$19)))</f>
        <v/>
      </c>
      <c r="AE79" s="211"/>
      <c r="AG79" s="221" t="str">
        <f t="shared" si="9"/>
        <v/>
      </c>
      <c r="AH79" s="222" t="str">
        <f t="shared" si="11"/>
        <v/>
      </c>
      <c r="AI79" s="220">
        <f t="shared" si="16"/>
        <v>4</v>
      </c>
      <c r="AJ79" s="222">
        <f t="shared" si="12"/>
        <v>0</v>
      </c>
      <c r="AK79" s="299" t="str">
        <f>IF(ISERROR(LOOKUP(E79,WKNrListe,Übersicht!$R$7:$R$46)),"-",LOOKUP(E79,WKNrListe,Übersicht!$R$7:$R$46))</f>
        <v>-</v>
      </c>
      <c r="AL79" s="299" t="str">
        <f t="shared" si="15"/>
        <v>-</v>
      </c>
      <c r="AM79" s="303"/>
      <c r="AN79" s="174" t="str">
        <f t="shared" si="8"/>
        <v>Leer</v>
      </c>
    </row>
    <row r="80" spans="1:40" s="174" customFormat="1" ht="15" customHeight="1">
      <c r="A80" s="63"/>
      <c r="B80" s="63"/>
      <c r="C80" s="84"/>
      <c r="D80" s="85"/>
      <c r="E80" s="62"/>
      <c r="F80" s="62"/>
      <c r="G80" s="62"/>
      <c r="H80" s="62"/>
      <c r="I80" s="62"/>
      <c r="J80" s="62"/>
      <c r="K80" s="62"/>
      <c r="L80" s="62"/>
      <c r="M80" s="62"/>
      <c r="N80" s="62"/>
      <c r="O80" s="62"/>
      <c r="P80" s="62"/>
      <c r="Q80" s="62"/>
      <c r="R80" s="62"/>
      <c r="S80" s="258"/>
      <c r="T80" s="248" t="str">
        <f t="shared" si="13"/>
        <v/>
      </c>
      <c r="U80" s="249" t="str">
        <f t="shared" si="14"/>
        <v/>
      </c>
      <c r="V80" s="294" t="str">
        <f t="shared" si="10"/>
        <v/>
      </c>
      <c r="W80" s="294" t="str">
        <f>IF(((E80="")+(F80="")),"",IF(VLOOKUP(F80,Mannschaften!$A$1:$B$54,2,FALSE)&lt;&gt;E80,"Reiter Mannschaften füllen",""))</f>
        <v/>
      </c>
      <c r="X80" s="248" t="str">
        <f>IF(ISBLANK(C80),"",IF((U80&gt;(LOOKUP(E80,WKNrListe,Übersicht!$O$7:$O$46)))+(U80&lt;(LOOKUP(E80,WKNrListe,Übersicht!$P$7:$P$46))),"JG falsch",""))</f>
        <v/>
      </c>
      <c r="Y80" s="255" t="str">
        <f>IF((A80="")*(B80=""),"",IF(ISERROR(MATCH(E80,WKNrListe,0)),"WK falsch",LOOKUP(E80,WKNrListe,Übersicht!$B$7:$B$46)))</f>
        <v/>
      </c>
      <c r="Z80" s="269" t="str">
        <f>IF(((AJ80=0)*(AH80&lt;&gt;"")*(AK80="-"))+((AJ80&lt;&gt;0)*(AH80&lt;&gt;"")*(AK80="-")),IF(AG80="X",Übersicht!$C$70,Übersicht!$C$69),"-")</f>
        <v>-</v>
      </c>
      <c r="AA80" s="252" t="str">
        <f>IF((($A80="")*($B80=""))+((MID($Y80,1,4)&lt;&gt;"Wahl")*(Deckblatt!$C$14='WK-Vorlagen'!$C$82))+(Deckblatt!$C$14&lt;&gt;'WK-Vorlagen'!$C$82),"",IF(ISERROR(MATCH(VALUE(MID(G80,1,2)),Schwierigkeitsstufen!$G$7:$G$19,0)),"Gerät falsch",LOOKUP(VALUE(MID(G80,1,2)),Schwierigkeitsstufen!$G$7:$G$19,Schwierigkeitsstufen!$H$7:$H$19)))</f>
        <v/>
      </c>
      <c r="AB80" s="250" t="str">
        <f>IF((($A80="")*($B80=""))+((MID($Y80,1,4)&lt;&gt;"Wahl")*(Deckblatt!$C$14='WK-Vorlagen'!$C$82))+(Deckblatt!$C$14&lt;&gt;'WK-Vorlagen'!$C$82),"",IF(ISERROR(MATCH(VALUE(MID(H80,1,2)),Schwierigkeitsstufen!$G$7:$G$19,0)),"Gerät falsch",LOOKUP(VALUE(MID(H80,1,2)),Schwierigkeitsstufen!$G$7:$G$19,Schwierigkeitsstufen!$H$7:$H$19)))</f>
        <v/>
      </c>
      <c r="AC80" s="250" t="str">
        <f>IF((($A80="")*($B80=""))+((MID($Y80,1,4)&lt;&gt;"Wahl")*(Deckblatt!$C$14='WK-Vorlagen'!$C$82))+(Deckblatt!$C$14&lt;&gt;'WK-Vorlagen'!$C$82),"",IF(ISERROR(MATCH(VALUE(MID(I80,1,2)),Schwierigkeitsstufen!$G$7:$G$19,0)),"Gerät falsch",LOOKUP(VALUE(MID(I80,1,2)),Schwierigkeitsstufen!$G$7:$G$19,Schwierigkeitsstufen!$H$7:$H$19)))</f>
        <v/>
      </c>
      <c r="AD80" s="251" t="str">
        <f>IF((($A80="")*($B80=""))+((MID($Y80,1,4)&lt;&gt;"Wahl")*(Deckblatt!$C$14='WK-Vorlagen'!$C$82))+(Deckblatt!$C$14&lt;&gt;'WK-Vorlagen'!$C$82),"",IF(ISERROR(MATCH(VALUE(MID(J80,1,2)),Schwierigkeitsstufen!$G$7:$G$19,0)),"Gerät falsch",LOOKUP(VALUE(MID(J80,1,2)),Schwierigkeitsstufen!$G$7:$G$19,Schwierigkeitsstufen!$H$7:$H$19)))</f>
        <v/>
      </c>
      <c r="AE80" s="211"/>
      <c r="AG80" s="221" t="str">
        <f t="shared" si="9"/>
        <v/>
      </c>
      <c r="AH80" s="222" t="str">
        <f t="shared" si="11"/>
        <v/>
      </c>
      <c r="AI80" s="220">
        <f t="shared" si="16"/>
        <v>4</v>
      </c>
      <c r="AJ80" s="222">
        <f t="shared" si="12"/>
        <v>0</v>
      </c>
      <c r="AK80" s="299" t="str">
        <f>IF(ISERROR(LOOKUP(E80,WKNrListe,Übersicht!$R$7:$R$46)),"-",LOOKUP(E80,WKNrListe,Übersicht!$R$7:$R$46))</f>
        <v>-</v>
      </c>
      <c r="AL80" s="299" t="str">
        <f t="shared" si="15"/>
        <v>-</v>
      </c>
      <c r="AM80" s="303"/>
      <c r="AN80" s="174" t="str">
        <f t="shared" si="8"/>
        <v>Leer</v>
      </c>
    </row>
    <row r="81" spans="1:40" s="174" customFormat="1" ht="15" customHeight="1">
      <c r="A81" s="63"/>
      <c r="B81" s="63"/>
      <c r="C81" s="84"/>
      <c r="D81" s="85"/>
      <c r="E81" s="62"/>
      <c r="F81" s="62"/>
      <c r="G81" s="62"/>
      <c r="H81" s="62"/>
      <c r="I81" s="62"/>
      <c r="J81" s="62"/>
      <c r="K81" s="62"/>
      <c r="L81" s="62"/>
      <c r="M81" s="62"/>
      <c r="N81" s="62"/>
      <c r="O81" s="62"/>
      <c r="P81" s="62"/>
      <c r="Q81" s="62"/>
      <c r="R81" s="62"/>
      <c r="S81" s="258"/>
      <c r="T81" s="248" t="str">
        <f t="shared" si="13"/>
        <v/>
      </c>
      <c r="U81" s="249" t="str">
        <f t="shared" si="14"/>
        <v/>
      </c>
      <c r="V81" s="294" t="str">
        <f t="shared" si="10"/>
        <v/>
      </c>
      <c r="W81" s="294" t="str">
        <f>IF(((E81="")+(F81="")),"",IF(VLOOKUP(F81,Mannschaften!$A$1:$B$54,2,FALSE)&lt;&gt;E81,"Reiter Mannschaften füllen",""))</f>
        <v/>
      </c>
      <c r="X81" s="248" t="str">
        <f>IF(ISBLANK(C81),"",IF((U81&gt;(LOOKUP(E81,WKNrListe,Übersicht!$O$7:$O$46)))+(U81&lt;(LOOKUP(E81,WKNrListe,Übersicht!$P$7:$P$46))),"JG falsch",""))</f>
        <v/>
      </c>
      <c r="Y81" s="255" t="str">
        <f>IF((A81="")*(B81=""),"",IF(ISERROR(MATCH(E81,WKNrListe,0)),"WK falsch",LOOKUP(E81,WKNrListe,Übersicht!$B$7:$B$46)))</f>
        <v/>
      </c>
      <c r="Z81" s="269" t="str">
        <f>IF(((AJ81=0)*(AH81&lt;&gt;"")*(AK81="-"))+((AJ81&lt;&gt;0)*(AH81&lt;&gt;"")*(AK81="-")),IF(AG81="X",Übersicht!$C$70,Übersicht!$C$69),"-")</f>
        <v>-</v>
      </c>
      <c r="AA81" s="252" t="str">
        <f>IF((($A81="")*($B81=""))+((MID($Y81,1,4)&lt;&gt;"Wahl")*(Deckblatt!$C$14='WK-Vorlagen'!$C$82))+(Deckblatt!$C$14&lt;&gt;'WK-Vorlagen'!$C$82),"",IF(ISERROR(MATCH(VALUE(MID(G81,1,2)),Schwierigkeitsstufen!$G$7:$G$19,0)),"Gerät falsch",LOOKUP(VALUE(MID(G81,1,2)),Schwierigkeitsstufen!$G$7:$G$19,Schwierigkeitsstufen!$H$7:$H$19)))</f>
        <v/>
      </c>
      <c r="AB81" s="250" t="str">
        <f>IF((($A81="")*($B81=""))+((MID($Y81,1,4)&lt;&gt;"Wahl")*(Deckblatt!$C$14='WK-Vorlagen'!$C$82))+(Deckblatt!$C$14&lt;&gt;'WK-Vorlagen'!$C$82),"",IF(ISERROR(MATCH(VALUE(MID(H81,1,2)),Schwierigkeitsstufen!$G$7:$G$19,0)),"Gerät falsch",LOOKUP(VALUE(MID(H81,1,2)),Schwierigkeitsstufen!$G$7:$G$19,Schwierigkeitsstufen!$H$7:$H$19)))</f>
        <v/>
      </c>
      <c r="AC81" s="250" t="str">
        <f>IF((($A81="")*($B81=""))+((MID($Y81,1,4)&lt;&gt;"Wahl")*(Deckblatt!$C$14='WK-Vorlagen'!$C$82))+(Deckblatt!$C$14&lt;&gt;'WK-Vorlagen'!$C$82),"",IF(ISERROR(MATCH(VALUE(MID(I81,1,2)),Schwierigkeitsstufen!$G$7:$G$19,0)),"Gerät falsch",LOOKUP(VALUE(MID(I81,1,2)),Schwierigkeitsstufen!$G$7:$G$19,Schwierigkeitsstufen!$H$7:$H$19)))</f>
        <v/>
      </c>
      <c r="AD81" s="251" t="str">
        <f>IF((($A81="")*($B81=""))+((MID($Y81,1,4)&lt;&gt;"Wahl")*(Deckblatt!$C$14='WK-Vorlagen'!$C$82))+(Deckblatt!$C$14&lt;&gt;'WK-Vorlagen'!$C$82),"",IF(ISERROR(MATCH(VALUE(MID(J81,1,2)),Schwierigkeitsstufen!$G$7:$G$19,0)),"Gerät falsch",LOOKUP(VALUE(MID(J81,1,2)),Schwierigkeitsstufen!$G$7:$G$19,Schwierigkeitsstufen!$H$7:$H$19)))</f>
        <v/>
      </c>
      <c r="AE81" s="211"/>
      <c r="AG81" s="221" t="str">
        <f t="shared" si="9"/>
        <v/>
      </c>
      <c r="AH81" s="222" t="str">
        <f t="shared" si="11"/>
        <v/>
      </c>
      <c r="AI81" s="220">
        <f t="shared" si="16"/>
        <v>4</v>
      </c>
      <c r="AJ81" s="222">
        <f t="shared" si="12"/>
        <v>0</v>
      </c>
      <c r="AK81" s="299" t="str">
        <f>IF(ISERROR(LOOKUP(E81,WKNrListe,Übersicht!$R$7:$R$46)),"-",LOOKUP(E81,WKNrListe,Übersicht!$R$7:$R$46))</f>
        <v>-</v>
      </c>
      <c r="AL81" s="299" t="str">
        <f t="shared" si="15"/>
        <v>-</v>
      </c>
      <c r="AM81" s="303"/>
      <c r="AN81" s="174" t="str">
        <f t="shared" si="8"/>
        <v>Leer</v>
      </c>
    </row>
    <row r="82" spans="1:40" s="174" customFormat="1" ht="15" customHeight="1">
      <c r="A82" s="63"/>
      <c r="B82" s="63"/>
      <c r="C82" s="84"/>
      <c r="D82" s="85"/>
      <c r="E82" s="62"/>
      <c r="F82" s="62"/>
      <c r="G82" s="62"/>
      <c r="H82" s="62"/>
      <c r="I82" s="62"/>
      <c r="J82" s="62"/>
      <c r="K82" s="62"/>
      <c r="L82" s="62"/>
      <c r="M82" s="62"/>
      <c r="N82" s="62"/>
      <c r="O82" s="62"/>
      <c r="P82" s="62"/>
      <c r="Q82" s="62"/>
      <c r="R82" s="62"/>
      <c r="S82" s="258"/>
      <c r="T82" s="248" t="str">
        <f t="shared" si="13"/>
        <v/>
      </c>
      <c r="U82" s="249" t="str">
        <f t="shared" si="14"/>
        <v/>
      </c>
      <c r="V82" s="294" t="str">
        <f t="shared" si="10"/>
        <v/>
      </c>
      <c r="W82" s="294" t="str">
        <f>IF(((E82="")+(F82="")),"",IF(VLOOKUP(F82,Mannschaften!$A$1:$B$54,2,FALSE)&lt;&gt;E82,"Reiter Mannschaften füllen",""))</f>
        <v/>
      </c>
      <c r="X82" s="248" t="str">
        <f>IF(ISBLANK(C82),"",IF((U82&gt;(LOOKUP(E82,WKNrListe,Übersicht!$O$7:$O$46)))+(U82&lt;(LOOKUP(E82,WKNrListe,Übersicht!$P$7:$P$46))),"JG falsch",""))</f>
        <v/>
      </c>
      <c r="Y82" s="255" t="str">
        <f>IF((A82="")*(B82=""),"",IF(ISERROR(MATCH(E82,WKNrListe,0)),"WK falsch",LOOKUP(E82,WKNrListe,Übersicht!$B$7:$B$46)))</f>
        <v/>
      </c>
      <c r="Z82" s="269" t="str">
        <f>IF(((AJ82=0)*(AH82&lt;&gt;"")*(AK82="-"))+((AJ82&lt;&gt;0)*(AH82&lt;&gt;"")*(AK82="-")),IF(AG82="X",Übersicht!$C$70,Übersicht!$C$69),"-")</f>
        <v>-</v>
      </c>
      <c r="AA82" s="252" t="str">
        <f>IF((($A82="")*($B82=""))+((MID($Y82,1,4)&lt;&gt;"Wahl")*(Deckblatt!$C$14='WK-Vorlagen'!$C$82))+(Deckblatt!$C$14&lt;&gt;'WK-Vorlagen'!$C$82),"",IF(ISERROR(MATCH(VALUE(MID(G82,1,2)),Schwierigkeitsstufen!$G$7:$G$19,0)),"Gerät falsch",LOOKUP(VALUE(MID(G82,1,2)),Schwierigkeitsstufen!$G$7:$G$19,Schwierigkeitsstufen!$H$7:$H$19)))</f>
        <v/>
      </c>
      <c r="AB82" s="250" t="str">
        <f>IF((($A82="")*($B82=""))+((MID($Y82,1,4)&lt;&gt;"Wahl")*(Deckblatt!$C$14='WK-Vorlagen'!$C$82))+(Deckblatt!$C$14&lt;&gt;'WK-Vorlagen'!$C$82),"",IF(ISERROR(MATCH(VALUE(MID(H82,1,2)),Schwierigkeitsstufen!$G$7:$G$19,0)),"Gerät falsch",LOOKUP(VALUE(MID(H82,1,2)),Schwierigkeitsstufen!$G$7:$G$19,Schwierigkeitsstufen!$H$7:$H$19)))</f>
        <v/>
      </c>
      <c r="AC82" s="250" t="str">
        <f>IF((($A82="")*($B82=""))+((MID($Y82,1,4)&lt;&gt;"Wahl")*(Deckblatt!$C$14='WK-Vorlagen'!$C$82))+(Deckblatt!$C$14&lt;&gt;'WK-Vorlagen'!$C$82),"",IF(ISERROR(MATCH(VALUE(MID(I82,1,2)),Schwierigkeitsstufen!$G$7:$G$19,0)),"Gerät falsch",LOOKUP(VALUE(MID(I82,1,2)),Schwierigkeitsstufen!$G$7:$G$19,Schwierigkeitsstufen!$H$7:$H$19)))</f>
        <v/>
      </c>
      <c r="AD82" s="251" t="str">
        <f>IF((($A82="")*($B82=""))+((MID($Y82,1,4)&lt;&gt;"Wahl")*(Deckblatt!$C$14='WK-Vorlagen'!$C$82))+(Deckblatt!$C$14&lt;&gt;'WK-Vorlagen'!$C$82),"",IF(ISERROR(MATCH(VALUE(MID(J82,1,2)),Schwierigkeitsstufen!$G$7:$G$19,0)),"Gerät falsch",LOOKUP(VALUE(MID(J82,1,2)),Schwierigkeitsstufen!$G$7:$G$19,Schwierigkeitsstufen!$H$7:$H$19)))</f>
        <v/>
      </c>
      <c r="AE82" s="211"/>
      <c r="AG82" s="221" t="str">
        <f t="shared" si="9"/>
        <v/>
      </c>
      <c r="AH82" s="222" t="str">
        <f t="shared" si="11"/>
        <v/>
      </c>
      <c r="AI82" s="220">
        <f t="shared" si="16"/>
        <v>4</v>
      </c>
      <c r="AJ82" s="222">
        <f t="shared" si="12"/>
        <v>0</v>
      </c>
      <c r="AK82" s="299" t="str">
        <f>IF(ISERROR(LOOKUP(E82,WKNrListe,Übersicht!$R$7:$R$46)),"-",LOOKUP(E82,WKNrListe,Übersicht!$R$7:$R$46))</f>
        <v>-</v>
      </c>
      <c r="AL82" s="299" t="str">
        <f t="shared" si="15"/>
        <v>-</v>
      </c>
      <c r="AM82" s="303"/>
      <c r="AN82" s="174" t="str">
        <f t="shared" si="8"/>
        <v>Leer</v>
      </c>
    </row>
    <row r="83" spans="1:40" s="174" customFormat="1" ht="15" customHeight="1">
      <c r="A83" s="63"/>
      <c r="B83" s="63"/>
      <c r="C83" s="84"/>
      <c r="D83" s="85"/>
      <c r="E83" s="62"/>
      <c r="F83" s="62"/>
      <c r="G83" s="62"/>
      <c r="H83" s="62"/>
      <c r="I83" s="62"/>
      <c r="J83" s="62"/>
      <c r="K83" s="62"/>
      <c r="L83" s="62"/>
      <c r="M83" s="62"/>
      <c r="N83" s="62"/>
      <c r="O83" s="62"/>
      <c r="P83" s="62"/>
      <c r="Q83" s="62"/>
      <c r="R83" s="62"/>
      <c r="S83" s="258"/>
      <c r="T83" s="248" t="str">
        <f t="shared" si="13"/>
        <v/>
      </c>
      <c r="U83" s="249" t="str">
        <f t="shared" si="14"/>
        <v/>
      </c>
      <c r="V83" s="294" t="str">
        <f t="shared" si="10"/>
        <v/>
      </c>
      <c r="W83" s="294" t="str">
        <f>IF(((E83="")+(F83="")),"",IF(VLOOKUP(F83,Mannschaften!$A$1:$B$54,2,FALSE)&lt;&gt;E83,"Reiter Mannschaften füllen",""))</f>
        <v/>
      </c>
      <c r="X83" s="248" t="str">
        <f>IF(ISBLANK(C83),"",IF((U83&gt;(LOOKUP(E83,WKNrListe,Übersicht!$O$7:$O$46)))+(U83&lt;(LOOKUP(E83,WKNrListe,Übersicht!$P$7:$P$46))),"JG falsch",""))</f>
        <v/>
      </c>
      <c r="Y83" s="255" t="str">
        <f>IF((A83="")*(B83=""),"",IF(ISERROR(MATCH(E83,WKNrListe,0)),"WK falsch",LOOKUP(E83,WKNrListe,Übersicht!$B$7:$B$46)))</f>
        <v/>
      </c>
      <c r="Z83" s="269" t="str">
        <f>IF(((AJ83=0)*(AH83&lt;&gt;"")*(AK83="-"))+((AJ83&lt;&gt;0)*(AH83&lt;&gt;"")*(AK83="-")),IF(AG83="X",Übersicht!$C$70,Übersicht!$C$69),"-")</f>
        <v>-</v>
      </c>
      <c r="AA83" s="252" t="str">
        <f>IF((($A83="")*($B83=""))+((MID($Y83,1,4)&lt;&gt;"Wahl")*(Deckblatt!$C$14='WK-Vorlagen'!$C$82))+(Deckblatt!$C$14&lt;&gt;'WK-Vorlagen'!$C$82),"",IF(ISERROR(MATCH(VALUE(MID(G83,1,2)),Schwierigkeitsstufen!$G$7:$G$19,0)),"Gerät falsch",LOOKUP(VALUE(MID(G83,1,2)),Schwierigkeitsstufen!$G$7:$G$19,Schwierigkeitsstufen!$H$7:$H$19)))</f>
        <v/>
      </c>
      <c r="AB83" s="250" t="str">
        <f>IF((($A83="")*($B83=""))+((MID($Y83,1,4)&lt;&gt;"Wahl")*(Deckblatt!$C$14='WK-Vorlagen'!$C$82))+(Deckblatt!$C$14&lt;&gt;'WK-Vorlagen'!$C$82),"",IF(ISERROR(MATCH(VALUE(MID(H83,1,2)),Schwierigkeitsstufen!$G$7:$G$19,0)),"Gerät falsch",LOOKUP(VALUE(MID(H83,1,2)),Schwierigkeitsstufen!$G$7:$G$19,Schwierigkeitsstufen!$H$7:$H$19)))</f>
        <v/>
      </c>
      <c r="AC83" s="250" t="str">
        <f>IF((($A83="")*($B83=""))+((MID($Y83,1,4)&lt;&gt;"Wahl")*(Deckblatt!$C$14='WK-Vorlagen'!$C$82))+(Deckblatt!$C$14&lt;&gt;'WK-Vorlagen'!$C$82),"",IF(ISERROR(MATCH(VALUE(MID(I83,1,2)),Schwierigkeitsstufen!$G$7:$G$19,0)),"Gerät falsch",LOOKUP(VALUE(MID(I83,1,2)),Schwierigkeitsstufen!$G$7:$G$19,Schwierigkeitsstufen!$H$7:$H$19)))</f>
        <v/>
      </c>
      <c r="AD83" s="251" t="str">
        <f>IF((($A83="")*($B83=""))+((MID($Y83,1,4)&lt;&gt;"Wahl")*(Deckblatt!$C$14='WK-Vorlagen'!$C$82))+(Deckblatt!$C$14&lt;&gt;'WK-Vorlagen'!$C$82),"",IF(ISERROR(MATCH(VALUE(MID(J83,1,2)),Schwierigkeitsstufen!$G$7:$G$19,0)),"Gerät falsch",LOOKUP(VALUE(MID(J83,1,2)),Schwierigkeitsstufen!$G$7:$G$19,Schwierigkeitsstufen!$H$7:$H$19)))</f>
        <v/>
      </c>
      <c r="AE83" s="211"/>
      <c r="AG83" s="221" t="str">
        <f t="shared" si="9"/>
        <v/>
      </c>
      <c r="AH83" s="222" t="str">
        <f t="shared" si="11"/>
        <v/>
      </c>
      <c r="AI83" s="220">
        <f t="shared" si="16"/>
        <v>4</v>
      </c>
      <c r="AJ83" s="222">
        <f t="shared" si="12"/>
        <v>0</v>
      </c>
      <c r="AK83" s="299" t="str">
        <f>IF(ISERROR(LOOKUP(E83,WKNrListe,Übersicht!$R$7:$R$46)),"-",LOOKUP(E83,WKNrListe,Übersicht!$R$7:$R$46))</f>
        <v>-</v>
      </c>
      <c r="AL83" s="299" t="str">
        <f t="shared" si="15"/>
        <v>-</v>
      </c>
      <c r="AM83" s="303"/>
      <c r="AN83" s="174" t="str">
        <f t="shared" si="8"/>
        <v>Leer</v>
      </c>
    </row>
    <row r="84" spans="1:40" s="174" customFormat="1" ht="15" customHeight="1">
      <c r="A84" s="63"/>
      <c r="B84" s="63"/>
      <c r="C84" s="84"/>
      <c r="D84" s="85"/>
      <c r="E84" s="62"/>
      <c r="F84" s="62"/>
      <c r="G84" s="62"/>
      <c r="H84" s="62"/>
      <c r="I84" s="62"/>
      <c r="J84" s="62"/>
      <c r="K84" s="62"/>
      <c r="L84" s="62"/>
      <c r="M84" s="62"/>
      <c r="N84" s="62"/>
      <c r="O84" s="62"/>
      <c r="P84" s="62"/>
      <c r="Q84" s="62"/>
      <c r="R84" s="62"/>
      <c r="S84" s="258"/>
      <c r="T84" s="248" t="str">
        <f t="shared" si="13"/>
        <v/>
      </c>
      <c r="U84" s="249" t="str">
        <f t="shared" si="14"/>
        <v/>
      </c>
      <c r="V84" s="294" t="str">
        <f t="shared" si="10"/>
        <v/>
      </c>
      <c r="W84" s="294" t="str">
        <f>IF(((E84="")+(F84="")),"",IF(VLOOKUP(F84,Mannschaften!$A$1:$B$54,2,FALSE)&lt;&gt;E84,"Reiter Mannschaften füllen",""))</f>
        <v/>
      </c>
      <c r="X84" s="248" t="str">
        <f>IF(ISBLANK(C84),"",IF((U84&gt;(LOOKUP(E84,WKNrListe,Übersicht!$O$7:$O$46)))+(U84&lt;(LOOKUP(E84,WKNrListe,Übersicht!$P$7:$P$46))),"JG falsch",""))</f>
        <v/>
      </c>
      <c r="Y84" s="255" t="str">
        <f>IF((A84="")*(B84=""),"",IF(ISERROR(MATCH(E84,WKNrListe,0)),"WK falsch",LOOKUP(E84,WKNrListe,Übersicht!$B$7:$B$46)))</f>
        <v/>
      </c>
      <c r="Z84" s="269" t="str">
        <f>IF(((AJ84=0)*(AH84&lt;&gt;"")*(AK84="-"))+((AJ84&lt;&gt;0)*(AH84&lt;&gt;"")*(AK84="-")),IF(AG84="X",Übersicht!$C$70,Übersicht!$C$69),"-")</f>
        <v>-</v>
      </c>
      <c r="AA84" s="252" t="str">
        <f>IF((($A84="")*($B84=""))+((MID($Y84,1,4)&lt;&gt;"Wahl")*(Deckblatt!$C$14='WK-Vorlagen'!$C$82))+(Deckblatt!$C$14&lt;&gt;'WK-Vorlagen'!$C$82),"",IF(ISERROR(MATCH(VALUE(MID(G84,1,2)),Schwierigkeitsstufen!$G$7:$G$19,0)),"Gerät falsch",LOOKUP(VALUE(MID(G84,1,2)),Schwierigkeitsstufen!$G$7:$G$19,Schwierigkeitsstufen!$H$7:$H$19)))</f>
        <v/>
      </c>
      <c r="AB84" s="250" t="str">
        <f>IF((($A84="")*($B84=""))+((MID($Y84,1,4)&lt;&gt;"Wahl")*(Deckblatt!$C$14='WK-Vorlagen'!$C$82))+(Deckblatt!$C$14&lt;&gt;'WK-Vorlagen'!$C$82),"",IF(ISERROR(MATCH(VALUE(MID(H84,1,2)),Schwierigkeitsstufen!$G$7:$G$19,0)),"Gerät falsch",LOOKUP(VALUE(MID(H84,1,2)),Schwierigkeitsstufen!$G$7:$G$19,Schwierigkeitsstufen!$H$7:$H$19)))</f>
        <v/>
      </c>
      <c r="AC84" s="250" t="str">
        <f>IF((($A84="")*($B84=""))+((MID($Y84,1,4)&lt;&gt;"Wahl")*(Deckblatt!$C$14='WK-Vorlagen'!$C$82))+(Deckblatt!$C$14&lt;&gt;'WK-Vorlagen'!$C$82),"",IF(ISERROR(MATCH(VALUE(MID(I84,1,2)),Schwierigkeitsstufen!$G$7:$G$19,0)),"Gerät falsch",LOOKUP(VALUE(MID(I84,1,2)),Schwierigkeitsstufen!$G$7:$G$19,Schwierigkeitsstufen!$H$7:$H$19)))</f>
        <v/>
      </c>
      <c r="AD84" s="251" t="str">
        <f>IF((($A84="")*($B84=""))+((MID($Y84,1,4)&lt;&gt;"Wahl")*(Deckblatt!$C$14='WK-Vorlagen'!$C$82))+(Deckblatt!$C$14&lt;&gt;'WK-Vorlagen'!$C$82),"",IF(ISERROR(MATCH(VALUE(MID(J84,1,2)),Schwierigkeitsstufen!$G$7:$G$19,0)),"Gerät falsch",LOOKUP(VALUE(MID(J84,1,2)),Schwierigkeitsstufen!$G$7:$G$19,Schwierigkeitsstufen!$H$7:$H$19)))</f>
        <v/>
      </c>
      <c r="AE84" s="211"/>
      <c r="AG84" s="221" t="str">
        <f t="shared" si="9"/>
        <v/>
      </c>
      <c r="AH84" s="222" t="str">
        <f t="shared" si="11"/>
        <v/>
      </c>
      <c r="AI84" s="220">
        <f t="shared" si="16"/>
        <v>4</v>
      </c>
      <c r="AJ84" s="222">
        <f t="shared" si="12"/>
        <v>0</v>
      </c>
      <c r="AK84" s="299" t="str">
        <f>IF(ISERROR(LOOKUP(E84,WKNrListe,Übersicht!$R$7:$R$46)),"-",LOOKUP(E84,WKNrListe,Übersicht!$R$7:$R$46))</f>
        <v>-</v>
      </c>
      <c r="AL84" s="299" t="str">
        <f t="shared" si="15"/>
        <v>-</v>
      </c>
      <c r="AM84" s="303"/>
      <c r="AN84" s="174" t="str">
        <f t="shared" si="8"/>
        <v>Leer</v>
      </c>
    </row>
    <row r="85" spans="1:40" s="174" customFormat="1" ht="15" customHeight="1">
      <c r="A85" s="63"/>
      <c r="B85" s="63"/>
      <c r="C85" s="84"/>
      <c r="D85" s="85"/>
      <c r="E85" s="62"/>
      <c r="F85" s="62"/>
      <c r="G85" s="62"/>
      <c r="H85" s="62"/>
      <c r="I85" s="62"/>
      <c r="J85" s="62"/>
      <c r="K85" s="62"/>
      <c r="L85" s="62"/>
      <c r="M85" s="62"/>
      <c r="N85" s="62"/>
      <c r="O85" s="62"/>
      <c r="P85" s="62"/>
      <c r="Q85" s="62"/>
      <c r="R85" s="62"/>
      <c r="S85" s="258"/>
      <c r="T85" s="248" t="str">
        <f t="shared" si="13"/>
        <v/>
      </c>
      <c r="U85" s="249" t="str">
        <f t="shared" si="14"/>
        <v/>
      </c>
      <c r="V85" s="294" t="str">
        <f t="shared" si="10"/>
        <v/>
      </c>
      <c r="W85" s="294" t="str">
        <f>IF(((E85="")+(F85="")),"",IF(VLOOKUP(F85,Mannschaften!$A$1:$B$54,2,FALSE)&lt;&gt;E85,"Reiter Mannschaften füllen",""))</f>
        <v/>
      </c>
      <c r="X85" s="248" t="str">
        <f>IF(ISBLANK(C85),"",IF((U85&gt;(LOOKUP(E85,WKNrListe,Übersicht!$O$7:$O$46)))+(U85&lt;(LOOKUP(E85,WKNrListe,Übersicht!$P$7:$P$46))),"JG falsch",""))</f>
        <v/>
      </c>
      <c r="Y85" s="255" t="str">
        <f>IF((A85="")*(B85=""),"",IF(ISERROR(MATCH(E85,WKNrListe,0)),"WK falsch",LOOKUP(E85,WKNrListe,Übersicht!$B$7:$B$46)))</f>
        <v/>
      </c>
      <c r="Z85" s="269" t="str">
        <f>IF(((AJ85=0)*(AH85&lt;&gt;"")*(AK85="-"))+((AJ85&lt;&gt;0)*(AH85&lt;&gt;"")*(AK85="-")),IF(AG85="X",Übersicht!$C$70,Übersicht!$C$69),"-")</f>
        <v>-</v>
      </c>
      <c r="AA85" s="252" t="str">
        <f>IF((($A85="")*($B85=""))+((MID($Y85,1,4)&lt;&gt;"Wahl")*(Deckblatt!$C$14='WK-Vorlagen'!$C$82))+(Deckblatt!$C$14&lt;&gt;'WK-Vorlagen'!$C$82),"",IF(ISERROR(MATCH(VALUE(MID(G85,1,2)),Schwierigkeitsstufen!$G$7:$G$19,0)),"Gerät falsch",LOOKUP(VALUE(MID(G85,1,2)),Schwierigkeitsstufen!$G$7:$G$19,Schwierigkeitsstufen!$H$7:$H$19)))</f>
        <v/>
      </c>
      <c r="AB85" s="250" t="str">
        <f>IF((($A85="")*($B85=""))+((MID($Y85,1,4)&lt;&gt;"Wahl")*(Deckblatt!$C$14='WK-Vorlagen'!$C$82))+(Deckblatt!$C$14&lt;&gt;'WK-Vorlagen'!$C$82),"",IF(ISERROR(MATCH(VALUE(MID(H85,1,2)),Schwierigkeitsstufen!$G$7:$G$19,0)),"Gerät falsch",LOOKUP(VALUE(MID(H85,1,2)),Schwierigkeitsstufen!$G$7:$G$19,Schwierigkeitsstufen!$H$7:$H$19)))</f>
        <v/>
      </c>
      <c r="AC85" s="250" t="str">
        <f>IF((($A85="")*($B85=""))+((MID($Y85,1,4)&lt;&gt;"Wahl")*(Deckblatt!$C$14='WK-Vorlagen'!$C$82))+(Deckblatt!$C$14&lt;&gt;'WK-Vorlagen'!$C$82),"",IF(ISERROR(MATCH(VALUE(MID(I85,1,2)),Schwierigkeitsstufen!$G$7:$G$19,0)),"Gerät falsch",LOOKUP(VALUE(MID(I85,1,2)),Schwierigkeitsstufen!$G$7:$G$19,Schwierigkeitsstufen!$H$7:$H$19)))</f>
        <v/>
      </c>
      <c r="AD85" s="251" t="str">
        <f>IF((($A85="")*($B85=""))+((MID($Y85,1,4)&lt;&gt;"Wahl")*(Deckblatt!$C$14='WK-Vorlagen'!$C$82))+(Deckblatt!$C$14&lt;&gt;'WK-Vorlagen'!$C$82),"",IF(ISERROR(MATCH(VALUE(MID(J85,1,2)),Schwierigkeitsstufen!$G$7:$G$19,0)),"Gerät falsch",LOOKUP(VALUE(MID(J85,1,2)),Schwierigkeitsstufen!$G$7:$G$19,Schwierigkeitsstufen!$H$7:$H$19)))</f>
        <v/>
      </c>
      <c r="AE85" s="211"/>
      <c r="AG85" s="221" t="str">
        <f t="shared" si="9"/>
        <v/>
      </c>
      <c r="AH85" s="222" t="str">
        <f t="shared" si="11"/>
        <v/>
      </c>
      <c r="AI85" s="220">
        <f t="shared" si="16"/>
        <v>4</v>
      </c>
      <c r="AJ85" s="222">
        <f t="shared" si="12"/>
        <v>0</v>
      </c>
      <c r="AK85" s="299" t="str">
        <f>IF(ISERROR(LOOKUP(E85,WKNrListe,Übersicht!$R$7:$R$46)),"-",LOOKUP(E85,WKNrListe,Übersicht!$R$7:$R$46))</f>
        <v>-</v>
      </c>
      <c r="AL85" s="299" t="str">
        <f t="shared" si="15"/>
        <v>-</v>
      </c>
      <c r="AM85" s="303"/>
      <c r="AN85" s="174" t="str">
        <f t="shared" si="8"/>
        <v>Leer</v>
      </c>
    </row>
    <row r="86" spans="1:40" s="174" customFormat="1" ht="15" customHeight="1">
      <c r="A86" s="63"/>
      <c r="B86" s="63"/>
      <c r="C86" s="84"/>
      <c r="D86" s="85"/>
      <c r="E86" s="62"/>
      <c r="F86" s="62"/>
      <c r="G86" s="62"/>
      <c r="H86" s="62"/>
      <c r="I86" s="62"/>
      <c r="J86" s="62"/>
      <c r="K86" s="62"/>
      <c r="L86" s="62"/>
      <c r="M86" s="62"/>
      <c r="N86" s="62"/>
      <c r="O86" s="62"/>
      <c r="P86" s="62"/>
      <c r="Q86" s="62"/>
      <c r="R86" s="62"/>
      <c r="S86" s="258"/>
      <c r="T86" s="248" t="str">
        <f t="shared" si="13"/>
        <v/>
      </c>
      <c r="U86" s="249" t="str">
        <f t="shared" si="14"/>
        <v/>
      </c>
      <c r="V86" s="294" t="str">
        <f t="shared" si="10"/>
        <v/>
      </c>
      <c r="W86" s="294" t="str">
        <f>IF(((E86="")+(F86="")),"",IF(VLOOKUP(F86,Mannschaften!$A$1:$B$54,2,FALSE)&lt;&gt;E86,"Reiter Mannschaften füllen",""))</f>
        <v/>
      </c>
      <c r="X86" s="248" t="str">
        <f>IF(ISBLANK(C86),"",IF((U86&gt;(LOOKUP(E86,WKNrListe,Übersicht!$O$7:$O$46)))+(U86&lt;(LOOKUP(E86,WKNrListe,Übersicht!$P$7:$P$46))),"JG falsch",""))</f>
        <v/>
      </c>
      <c r="Y86" s="255" t="str">
        <f>IF((A86="")*(B86=""),"",IF(ISERROR(MATCH(E86,WKNrListe,0)),"WK falsch",LOOKUP(E86,WKNrListe,Übersicht!$B$7:$B$46)))</f>
        <v/>
      </c>
      <c r="Z86" s="269" t="str">
        <f>IF(((AJ86=0)*(AH86&lt;&gt;"")*(AK86="-"))+((AJ86&lt;&gt;0)*(AH86&lt;&gt;"")*(AK86="-")),IF(AG86="X",Übersicht!$C$70,Übersicht!$C$69),"-")</f>
        <v>-</v>
      </c>
      <c r="AA86" s="252" t="str">
        <f>IF((($A86="")*($B86=""))+((MID($Y86,1,4)&lt;&gt;"Wahl")*(Deckblatt!$C$14='WK-Vorlagen'!$C$82))+(Deckblatt!$C$14&lt;&gt;'WK-Vorlagen'!$C$82),"",IF(ISERROR(MATCH(VALUE(MID(G86,1,2)),Schwierigkeitsstufen!$G$7:$G$19,0)),"Gerät falsch",LOOKUP(VALUE(MID(G86,1,2)),Schwierigkeitsstufen!$G$7:$G$19,Schwierigkeitsstufen!$H$7:$H$19)))</f>
        <v/>
      </c>
      <c r="AB86" s="250" t="str">
        <f>IF((($A86="")*($B86=""))+((MID($Y86,1,4)&lt;&gt;"Wahl")*(Deckblatt!$C$14='WK-Vorlagen'!$C$82))+(Deckblatt!$C$14&lt;&gt;'WK-Vorlagen'!$C$82),"",IF(ISERROR(MATCH(VALUE(MID(H86,1,2)),Schwierigkeitsstufen!$G$7:$G$19,0)),"Gerät falsch",LOOKUP(VALUE(MID(H86,1,2)),Schwierigkeitsstufen!$G$7:$G$19,Schwierigkeitsstufen!$H$7:$H$19)))</f>
        <v/>
      </c>
      <c r="AC86" s="250" t="str">
        <f>IF((($A86="")*($B86=""))+((MID($Y86,1,4)&lt;&gt;"Wahl")*(Deckblatt!$C$14='WK-Vorlagen'!$C$82))+(Deckblatt!$C$14&lt;&gt;'WK-Vorlagen'!$C$82),"",IF(ISERROR(MATCH(VALUE(MID(I86,1,2)),Schwierigkeitsstufen!$G$7:$G$19,0)),"Gerät falsch",LOOKUP(VALUE(MID(I86,1,2)),Schwierigkeitsstufen!$G$7:$G$19,Schwierigkeitsstufen!$H$7:$H$19)))</f>
        <v/>
      </c>
      <c r="AD86" s="251" t="str">
        <f>IF((($A86="")*($B86=""))+((MID($Y86,1,4)&lt;&gt;"Wahl")*(Deckblatt!$C$14='WK-Vorlagen'!$C$82))+(Deckblatt!$C$14&lt;&gt;'WK-Vorlagen'!$C$82),"",IF(ISERROR(MATCH(VALUE(MID(J86,1,2)),Schwierigkeitsstufen!$G$7:$G$19,0)),"Gerät falsch",LOOKUP(VALUE(MID(J86,1,2)),Schwierigkeitsstufen!$G$7:$G$19,Schwierigkeitsstufen!$H$7:$H$19)))</f>
        <v/>
      </c>
      <c r="AE86" s="211"/>
      <c r="AG86" s="221" t="str">
        <f t="shared" si="9"/>
        <v/>
      </c>
      <c r="AH86" s="222" t="str">
        <f t="shared" si="11"/>
        <v/>
      </c>
      <c r="AI86" s="220">
        <f t="shared" si="16"/>
        <v>4</v>
      </c>
      <c r="AJ86" s="222">
        <f t="shared" si="12"/>
        <v>0</v>
      </c>
      <c r="AK86" s="299" t="str">
        <f>IF(ISERROR(LOOKUP(E86,WKNrListe,Übersicht!$R$7:$R$46)),"-",LOOKUP(E86,WKNrListe,Übersicht!$R$7:$R$46))</f>
        <v>-</v>
      </c>
      <c r="AL86" s="299" t="str">
        <f t="shared" si="15"/>
        <v>-</v>
      </c>
      <c r="AM86" s="303"/>
      <c r="AN86" s="174" t="str">
        <f t="shared" si="8"/>
        <v>Leer</v>
      </c>
    </row>
    <row r="87" spans="1:40" s="174" customFormat="1" ht="15" customHeight="1">
      <c r="A87" s="63"/>
      <c r="B87" s="63"/>
      <c r="C87" s="84"/>
      <c r="D87" s="85"/>
      <c r="E87" s="62"/>
      <c r="F87" s="62"/>
      <c r="G87" s="62"/>
      <c r="H87" s="62"/>
      <c r="I87" s="62"/>
      <c r="J87" s="62"/>
      <c r="K87" s="62"/>
      <c r="L87" s="62"/>
      <c r="M87" s="62"/>
      <c r="N87" s="62"/>
      <c r="O87" s="62"/>
      <c r="P87" s="62"/>
      <c r="Q87" s="62"/>
      <c r="R87" s="62"/>
      <c r="S87" s="258"/>
      <c r="T87" s="248" t="str">
        <f t="shared" si="13"/>
        <v/>
      </c>
      <c r="U87" s="249" t="str">
        <f t="shared" si="14"/>
        <v/>
      </c>
      <c r="V87" s="294" t="str">
        <f t="shared" si="10"/>
        <v/>
      </c>
      <c r="W87" s="294" t="str">
        <f>IF(((E87="")+(F87="")),"",IF(VLOOKUP(F87,Mannschaften!$A$1:$B$54,2,FALSE)&lt;&gt;E87,"Reiter Mannschaften füllen",""))</f>
        <v/>
      </c>
      <c r="X87" s="248" t="str">
        <f>IF(ISBLANK(C87),"",IF((U87&gt;(LOOKUP(E87,WKNrListe,Übersicht!$O$7:$O$46)))+(U87&lt;(LOOKUP(E87,WKNrListe,Übersicht!$P$7:$P$46))),"JG falsch",""))</f>
        <v/>
      </c>
      <c r="Y87" s="255" t="str">
        <f>IF((A87="")*(B87=""),"",IF(ISERROR(MATCH(E87,WKNrListe,0)),"WK falsch",LOOKUP(E87,WKNrListe,Übersicht!$B$7:$B$46)))</f>
        <v/>
      </c>
      <c r="Z87" s="269" t="str">
        <f>IF(((AJ87=0)*(AH87&lt;&gt;"")*(AK87="-"))+((AJ87&lt;&gt;0)*(AH87&lt;&gt;"")*(AK87="-")),IF(AG87="X",Übersicht!$C$70,Übersicht!$C$69),"-")</f>
        <v>-</v>
      </c>
      <c r="AA87" s="252" t="str">
        <f>IF((($A87="")*($B87=""))+((MID($Y87,1,4)&lt;&gt;"Wahl")*(Deckblatt!$C$14='WK-Vorlagen'!$C$82))+(Deckblatt!$C$14&lt;&gt;'WK-Vorlagen'!$C$82),"",IF(ISERROR(MATCH(VALUE(MID(G87,1,2)),Schwierigkeitsstufen!$G$7:$G$19,0)),"Gerät falsch",LOOKUP(VALUE(MID(G87,1,2)),Schwierigkeitsstufen!$G$7:$G$19,Schwierigkeitsstufen!$H$7:$H$19)))</f>
        <v/>
      </c>
      <c r="AB87" s="250" t="str">
        <f>IF((($A87="")*($B87=""))+((MID($Y87,1,4)&lt;&gt;"Wahl")*(Deckblatt!$C$14='WK-Vorlagen'!$C$82))+(Deckblatt!$C$14&lt;&gt;'WK-Vorlagen'!$C$82),"",IF(ISERROR(MATCH(VALUE(MID(H87,1,2)),Schwierigkeitsstufen!$G$7:$G$19,0)),"Gerät falsch",LOOKUP(VALUE(MID(H87,1,2)),Schwierigkeitsstufen!$G$7:$G$19,Schwierigkeitsstufen!$H$7:$H$19)))</f>
        <v/>
      </c>
      <c r="AC87" s="250" t="str">
        <f>IF((($A87="")*($B87=""))+((MID($Y87,1,4)&lt;&gt;"Wahl")*(Deckblatt!$C$14='WK-Vorlagen'!$C$82))+(Deckblatt!$C$14&lt;&gt;'WK-Vorlagen'!$C$82),"",IF(ISERROR(MATCH(VALUE(MID(I87,1,2)),Schwierigkeitsstufen!$G$7:$G$19,0)),"Gerät falsch",LOOKUP(VALUE(MID(I87,1,2)),Schwierigkeitsstufen!$G$7:$G$19,Schwierigkeitsstufen!$H$7:$H$19)))</f>
        <v/>
      </c>
      <c r="AD87" s="251" t="str">
        <f>IF((($A87="")*($B87=""))+((MID($Y87,1,4)&lt;&gt;"Wahl")*(Deckblatt!$C$14='WK-Vorlagen'!$C$82))+(Deckblatt!$C$14&lt;&gt;'WK-Vorlagen'!$C$82),"",IF(ISERROR(MATCH(VALUE(MID(J87,1,2)),Schwierigkeitsstufen!$G$7:$G$19,0)),"Gerät falsch",LOOKUP(VALUE(MID(J87,1,2)),Schwierigkeitsstufen!$G$7:$G$19,Schwierigkeitsstufen!$H$7:$H$19)))</f>
        <v/>
      </c>
      <c r="AE87" s="211"/>
      <c r="AG87" s="221" t="str">
        <f t="shared" si="9"/>
        <v/>
      </c>
      <c r="AH87" s="222" t="str">
        <f t="shared" si="11"/>
        <v/>
      </c>
      <c r="AI87" s="220">
        <f t="shared" si="16"/>
        <v>4</v>
      </c>
      <c r="AJ87" s="222">
        <f t="shared" si="12"/>
        <v>0</v>
      </c>
      <c r="AK87" s="299" t="str">
        <f>IF(ISERROR(LOOKUP(E87,WKNrListe,Übersicht!$R$7:$R$46)),"-",LOOKUP(E87,WKNrListe,Übersicht!$R$7:$R$46))</f>
        <v>-</v>
      </c>
      <c r="AL87" s="299" t="str">
        <f t="shared" si="15"/>
        <v>-</v>
      </c>
      <c r="AM87" s="303"/>
      <c r="AN87" s="174" t="str">
        <f t="shared" si="8"/>
        <v>Leer</v>
      </c>
    </row>
    <row r="88" spans="1:40" s="174" customFormat="1" ht="15" customHeight="1">
      <c r="A88" s="63"/>
      <c r="B88" s="63"/>
      <c r="C88" s="84"/>
      <c r="D88" s="85"/>
      <c r="E88" s="62"/>
      <c r="F88" s="62"/>
      <c r="G88" s="62"/>
      <c r="H88" s="62"/>
      <c r="I88" s="62"/>
      <c r="J88" s="62"/>
      <c r="K88" s="62"/>
      <c r="L88" s="62"/>
      <c r="M88" s="62"/>
      <c r="N88" s="62"/>
      <c r="O88" s="62"/>
      <c r="P88" s="62"/>
      <c r="Q88" s="62"/>
      <c r="R88" s="62"/>
      <c r="S88" s="258"/>
      <c r="T88" s="248" t="str">
        <f t="shared" si="13"/>
        <v/>
      </c>
      <c r="U88" s="249" t="str">
        <f t="shared" si="14"/>
        <v/>
      </c>
      <c r="V88" s="294" t="str">
        <f t="shared" si="10"/>
        <v/>
      </c>
      <c r="W88" s="294" t="str">
        <f>IF(((E88="")+(F88="")),"",IF(VLOOKUP(F88,Mannschaften!$A$1:$B$54,2,FALSE)&lt;&gt;E88,"Reiter Mannschaften füllen",""))</f>
        <v/>
      </c>
      <c r="X88" s="248" t="str">
        <f>IF(ISBLANK(C88),"",IF((U88&gt;(LOOKUP(E88,WKNrListe,Übersicht!$O$7:$O$46)))+(U88&lt;(LOOKUP(E88,WKNrListe,Übersicht!$P$7:$P$46))),"JG falsch",""))</f>
        <v/>
      </c>
      <c r="Y88" s="255" t="str">
        <f>IF((A88="")*(B88=""),"",IF(ISERROR(MATCH(E88,WKNrListe,0)),"WK falsch",LOOKUP(E88,WKNrListe,Übersicht!$B$7:$B$46)))</f>
        <v/>
      </c>
      <c r="Z88" s="269" t="str">
        <f>IF(((AJ88=0)*(AH88&lt;&gt;"")*(AK88="-"))+((AJ88&lt;&gt;0)*(AH88&lt;&gt;"")*(AK88="-")),IF(AG88="X",Übersicht!$C$70,Übersicht!$C$69),"-")</f>
        <v>-</v>
      </c>
      <c r="AA88" s="252" t="str">
        <f>IF((($A88="")*($B88=""))+((MID($Y88,1,4)&lt;&gt;"Wahl")*(Deckblatt!$C$14='WK-Vorlagen'!$C$82))+(Deckblatt!$C$14&lt;&gt;'WK-Vorlagen'!$C$82),"",IF(ISERROR(MATCH(VALUE(MID(G88,1,2)),Schwierigkeitsstufen!$G$7:$G$19,0)),"Gerät falsch",LOOKUP(VALUE(MID(G88,1,2)),Schwierigkeitsstufen!$G$7:$G$19,Schwierigkeitsstufen!$H$7:$H$19)))</f>
        <v/>
      </c>
      <c r="AB88" s="250" t="str">
        <f>IF((($A88="")*($B88=""))+((MID($Y88,1,4)&lt;&gt;"Wahl")*(Deckblatt!$C$14='WK-Vorlagen'!$C$82))+(Deckblatt!$C$14&lt;&gt;'WK-Vorlagen'!$C$82),"",IF(ISERROR(MATCH(VALUE(MID(H88,1,2)),Schwierigkeitsstufen!$G$7:$G$19,0)),"Gerät falsch",LOOKUP(VALUE(MID(H88,1,2)),Schwierigkeitsstufen!$G$7:$G$19,Schwierigkeitsstufen!$H$7:$H$19)))</f>
        <v/>
      </c>
      <c r="AC88" s="250" t="str">
        <f>IF((($A88="")*($B88=""))+((MID($Y88,1,4)&lt;&gt;"Wahl")*(Deckblatt!$C$14='WK-Vorlagen'!$C$82))+(Deckblatt!$C$14&lt;&gt;'WK-Vorlagen'!$C$82),"",IF(ISERROR(MATCH(VALUE(MID(I88,1,2)),Schwierigkeitsstufen!$G$7:$G$19,0)),"Gerät falsch",LOOKUP(VALUE(MID(I88,1,2)),Schwierigkeitsstufen!$G$7:$G$19,Schwierigkeitsstufen!$H$7:$H$19)))</f>
        <v/>
      </c>
      <c r="AD88" s="251" t="str">
        <f>IF((($A88="")*($B88=""))+((MID($Y88,1,4)&lt;&gt;"Wahl")*(Deckblatt!$C$14='WK-Vorlagen'!$C$82))+(Deckblatt!$C$14&lt;&gt;'WK-Vorlagen'!$C$82),"",IF(ISERROR(MATCH(VALUE(MID(J88,1,2)),Schwierigkeitsstufen!$G$7:$G$19,0)),"Gerät falsch",LOOKUP(VALUE(MID(J88,1,2)),Schwierigkeitsstufen!$G$7:$G$19,Schwierigkeitsstufen!$H$7:$H$19)))</f>
        <v/>
      </c>
      <c r="AE88" s="211"/>
      <c r="AG88" s="221" t="str">
        <f t="shared" si="9"/>
        <v/>
      </c>
      <c r="AH88" s="222" t="str">
        <f t="shared" si="11"/>
        <v/>
      </c>
      <c r="AI88" s="220">
        <f t="shared" si="16"/>
        <v>4</v>
      </c>
      <c r="AJ88" s="222">
        <f t="shared" si="12"/>
        <v>0</v>
      </c>
      <c r="AK88" s="299" t="str">
        <f>IF(ISERROR(LOOKUP(E88,WKNrListe,Übersicht!$R$7:$R$46)),"-",LOOKUP(E88,WKNrListe,Übersicht!$R$7:$R$46))</f>
        <v>-</v>
      </c>
      <c r="AL88" s="299" t="str">
        <f t="shared" si="15"/>
        <v>-</v>
      </c>
      <c r="AM88" s="303"/>
      <c r="AN88" s="174" t="str">
        <f t="shared" si="8"/>
        <v>Leer</v>
      </c>
    </row>
    <row r="89" spans="1:40" s="174" customFormat="1" ht="15" customHeight="1">
      <c r="A89" s="63"/>
      <c r="B89" s="63"/>
      <c r="C89" s="84"/>
      <c r="D89" s="85"/>
      <c r="E89" s="62"/>
      <c r="F89" s="62"/>
      <c r="G89" s="62"/>
      <c r="H89" s="62"/>
      <c r="I89" s="62"/>
      <c r="J89" s="62"/>
      <c r="K89" s="62"/>
      <c r="L89" s="62"/>
      <c r="M89" s="62"/>
      <c r="N89" s="62"/>
      <c r="O89" s="62"/>
      <c r="P89" s="62"/>
      <c r="Q89" s="62"/>
      <c r="R89" s="62"/>
      <c r="S89" s="258"/>
      <c r="T89" s="248" t="str">
        <f t="shared" si="13"/>
        <v/>
      </c>
      <c r="U89" s="249" t="str">
        <f t="shared" si="14"/>
        <v/>
      </c>
      <c r="V89" s="294" t="str">
        <f t="shared" si="10"/>
        <v/>
      </c>
      <c r="W89" s="294" t="str">
        <f>IF(((E89="")+(F89="")),"",IF(VLOOKUP(F89,Mannschaften!$A$1:$B$54,2,FALSE)&lt;&gt;E89,"Reiter Mannschaften füllen",""))</f>
        <v/>
      </c>
      <c r="X89" s="248" t="str">
        <f>IF(ISBLANK(C89),"",IF((U89&gt;(LOOKUP(E89,WKNrListe,Übersicht!$O$7:$O$46)))+(U89&lt;(LOOKUP(E89,WKNrListe,Übersicht!$P$7:$P$46))),"JG falsch",""))</f>
        <v/>
      </c>
      <c r="Y89" s="255" t="str">
        <f>IF((A89="")*(B89=""),"",IF(ISERROR(MATCH(E89,WKNrListe,0)),"WK falsch",LOOKUP(E89,WKNrListe,Übersicht!$B$7:$B$46)))</f>
        <v/>
      </c>
      <c r="Z89" s="269" t="str">
        <f>IF(((AJ89=0)*(AH89&lt;&gt;"")*(AK89="-"))+((AJ89&lt;&gt;0)*(AH89&lt;&gt;"")*(AK89="-")),IF(AG89="X",Übersicht!$C$70,Übersicht!$C$69),"-")</f>
        <v>-</v>
      </c>
      <c r="AA89" s="252" t="str">
        <f>IF((($A89="")*($B89=""))+((MID($Y89,1,4)&lt;&gt;"Wahl")*(Deckblatt!$C$14='WK-Vorlagen'!$C$82))+(Deckblatt!$C$14&lt;&gt;'WK-Vorlagen'!$C$82),"",IF(ISERROR(MATCH(VALUE(MID(G89,1,2)),Schwierigkeitsstufen!$G$7:$G$19,0)),"Gerät falsch",LOOKUP(VALUE(MID(G89,1,2)),Schwierigkeitsstufen!$G$7:$G$19,Schwierigkeitsstufen!$H$7:$H$19)))</f>
        <v/>
      </c>
      <c r="AB89" s="250" t="str">
        <f>IF((($A89="")*($B89=""))+((MID($Y89,1,4)&lt;&gt;"Wahl")*(Deckblatt!$C$14='WK-Vorlagen'!$C$82))+(Deckblatt!$C$14&lt;&gt;'WK-Vorlagen'!$C$82),"",IF(ISERROR(MATCH(VALUE(MID(H89,1,2)),Schwierigkeitsstufen!$G$7:$G$19,0)),"Gerät falsch",LOOKUP(VALUE(MID(H89,1,2)),Schwierigkeitsstufen!$G$7:$G$19,Schwierigkeitsstufen!$H$7:$H$19)))</f>
        <v/>
      </c>
      <c r="AC89" s="250" t="str">
        <f>IF((($A89="")*($B89=""))+((MID($Y89,1,4)&lt;&gt;"Wahl")*(Deckblatt!$C$14='WK-Vorlagen'!$C$82))+(Deckblatt!$C$14&lt;&gt;'WK-Vorlagen'!$C$82),"",IF(ISERROR(MATCH(VALUE(MID(I89,1,2)),Schwierigkeitsstufen!$G$7:$G$19,0)),"Gerät falsch",LOOKUP(VALUE(MID(I89,1,2)),Schwierigkeitsstufen!$G$7:$G$19,Schwierigkeitsstufen!$H$7:$H$19)))</f>
        <v/>
      </c>
      <c r="AD89" s="251" t="str">
        <f>IF((($A89="")*($B89=""))+((MID($Y89,1,4)&lt;&gt;"Wahl")*(Deckblatt!$C$14='WK-Vorlagen'!$C$82))+(Deckblatt!$C$14&lt;&gt;'WK-Vorlagen'!$C$82),"",IF(ISERROR(MATCH(VALUE(MID(J89,1,2)),Schwierigkeitsstufen!$G$7:$G$19,0)),"Gerät falsch",LOOKUP(VALUE(MID(J89,1,2)),Schwierigkeitsstufen!$G$7:$G$19,Schwierigkeitsstufen!$H$7:$H$19)))</f>
        <v/>
      </c>
      <c r="AE89" s="211"/>
      <c r="AG89" s="221" t="str">
        <f t="shared" si="9"/>
        <v/>
      </c>
      <c r="AH89" s="222" t="str">
        <f t="shared" si="11"/>
        <v/>
      </c>
      <c r="AI89" s="220">
        <f t="shared" si="16"/>
        <v>4</v>
      </c>
      <c r="AJ89" s="222">
        <f t="shared" si="12"/>
        <v>0</v>
      </c>
      <c r="AK89" s="299" t="str">
        <f>IF(ISERROR(LOOKUP(E89,WKNrListe,Übersicht!$R$7:$R$46)),"-",LOOKUP(E89,WKNrListe,Übersicht!$R$7:$R$46))</f>
        <v>-</v>
      </c>
      <c r="AL89" s="299" t="str">
        <f t="shared" si="15"/>
        <v>-</v>
      </c>
      <c r="AM89" s="303"/>
      <c r="AN89" s="174" t="str">
        <f t="shared" si="8"/>
        <v>Leer</v>
      </c>
    </row>
    <row r="90" spans="1:40" s="174" customFormat="1" ht="15" customHeight="1">
      <c r="A90" s="63"/>
      <c r="B90" s="63"/>
      <c r="C90" s="84"/>
      <c r="D90" s="85"/>
      <c r="E90" s="62"/>
      <c r="F90" s="62"/>
      <c r="G90" s="62"/>
      <c r="H90" s="62"/>
      <c r="I90" s="62"/>
      <c r="J90" s="62"/>
      <c r="K90" s="62"/>
      <c r="L90" s="62"/>
      <c r="M90" s="62"/>
      <c r="N90" s="62"/>
      <c r="O90" s="62"/>
      <c r="P90" s="62"/>
      <c r="Q90" s="62"/>
      <c r="R90" s="62"/>
      <c r="S90" s="258"/>
      <c r="T90" s="248" t="str">
        <f t="shared" si="13"/>
        <v/>
      </c>
      <c r="U90" s="249" t="str">
        <f t="shared" si="14"/>
        <v/>
      </c>
      <c r="V90" s="294" t="str">
        <f t="shared" si="10"/>
        <v/>
      </c>
      <c r="W90" s="294" t="str">
        <f>IF(((E90="")+(F90="")),"",IF(VLOOKUP(F90,Mannschaften!$A$1:$B$54,2,FALSE)&lt;&gt;E90,"Reiter Mannschaften füllen",""))</f>
        <v/>
      </c>
      <c r="X90" s="248" t="str">
        <f>IF(ISBLANK(C90),"",IF((U90&gt;(LOOKUP(E90,WKNrListe,Übersicht!$O$7:$O$46)))+(U90&lt;(LOOKUP(E90,WKNrListe,Übersicht!$P$7:$P$46))),"JG falsch",""))</f>
        <v/>
      </c>
      <c r="Y90" s="255" t="str">
        <f>IF((A90="")*(B90=""),"",IF(ISERROR(MATCH(E90,WKNrListe,0)),"WK falsch",LOOKUP(E90,WKNrListe,Übersicht!$B$7:$B$46)))</f>
        <v/>
      </c>
      <c r="Z90" s="269" t="str">
        <f>IF(((AJ90=0)*(AH90&lt;&gt;"")*(AK90="-"))+((AJ90&lt;&gt;0)*(AH90&lt;&gt;"")*(AK90="-")),IF(AG90="X",Übersicht!$C$70,Übersicht!$C$69),"-")</f>
        <v>-</v>
      </c>
      <c r="AA90" s="252" t="str">
        <f>IF((($A90="")*($B90=""))+((MID($Y90,1,4)&lt;&gt;"Wahl")*(Deckblatt!$C$14='WK-Vorlagen'!$C$82))+(Deckblatt!$C$14&lt;&gt;'WK-Vorlagen'!$C$82),"",IF(ISERROR(MATCH(VALUE(MID(G90,1,2)),Schwierigkeitsstufen!$G$7:$G$19,0)),"Gerät falsch",LOOKUP(VALUE(MID(G90,1,2)),Schwierigkeitsstufen!$G$7:$G$19,Schwierigkeitsstufen!$H$7:$H$19)))</f>
        <v/>
      </c>
      <c r="AB90" s="250" t="str">
        <f>IF((($A90="")*($B90=""))+((MID($Y90,1,4)&lt;&gt;"Wahl")*(Deckblatt!$C$14='WK-Vorlagen'!$C$82))+(Deckblatt!$C$14&lt;&gt;'WK-Vorlagen'!$C$82),"",IF(ISERROR(MATCH(VALUE(MID(H90,1,2)),Schwierigkeitsstufen!$G$7:$G$19,0)),"Gerät falsch",LOOKUP(VALUE(MID(H90,1,2)),Schwierigkeitsstufen!$G$7:$G$19,Schwierigkeitsstufen!$H$7:$H$19)))</f>
        <v/>
      </c>
      <c r="AC90" s="250" t="str">
        <f>IF((($A90="")*($B90=""))+((MID($Y90,1,4)&lt;&gt;"Wahl")*(Deckblatt!$C$14='WK-Vorlagen'!$C$82))+(Deckblatt!$C$14&lt;&gt;'WK-Vorlagen'!$C$82),"",IF(ISERROR(MATCH(VALUE(MID(I90,1,2)),Schwierigkeitsstufen!$G$7:$G$19,0)),"Gerät falsch",LOOKUP(VALUE(MID(I90,1,2)),Schwierigkeitsstufen!$G$7:$G$19,Schwierigkeitsstufen!$H$7:$H$19)))</f>
        <v/>
      </c>
      <c r="AD90" s="251" t="str">
        <f>IF((($A90="")*($B90=""))+((MID($Y90,1,4)&lt;&gt;"Wahl")*(Deckblatt!$C$14='WK-Vorlagen'!$C$82))+(Deckblatt!$C$14&lt;&gt;'WK-Vorlagen'!$C$82),"",IF(ISERROR(MATCH(VALUE(MID(J90,1,2)),Schwierigkeitsstufen!$G$7:$G$19,0)),"Gerät falsch",LOOKUP(VALUE(MID(J90,1,2)),Schwierigkeitsstufen!$G$7:$G$19,Schwierigkeitsstufen!$H$7:$H$19)))</f>
        <v/>
      </c>
      <c r="AE90" s="211"/>
      <c r="AG90" s="221" t="str">
        <f t="shared" si="9"/>
        <v/>
      </c>
      <c r="AH90" s="222" t="str">
        <f t="shared" si="11"/>
        <v/>
      </c>
      <c r="AI90" s="220">
        <f t="shared" si="16"/>
        <v>4</v>
      </c>
      <c r="AJ90" s="222">
        <f t="shared" si="12"/>
        <v>0</v>
      </c>
      <c r="AK90" s="299" t="str">
        <f>IF(ISERROR(LOOKUP(E90,WKNrListe,Übersicht!$R$7:$R$46)),"-",LOOKUP(E90,WKNrListe,Übersicht!$R$7:$R$46))</f>
        <v>-</v>
      </c>
      <c r="AL90" s="299" t="str">
        <f t="shared" si="15"/>
        <v>-</v>
      </c>
      <c r="AM90" s="303"/>
      <c r="AN90" s="174" t="str">
        <f t="shared" si="8"/>
        <v>Leer</v>
      </c>
    </row>
    <row r="91" spans="1:40" s="174" customFormat="1" ht="15" customHeight="1">
      <c r="A91" s="63"/>
      <c r="B91" s="63"/>
      <c r="C91" s="84"/>
      <c r="D91" s="85"/>
      <c r="E91" s="62"/>
      <c r="F91" s="62"/>
      <c r="G91" s="62"/>
      <c r="H91" s="62"/>
      <c r="I91" s="62"/>
      <c r="J91" s="62"/>
      <c r="K91" s="62"/>
      <c r="L91" s="62"/>
      <c r="M91" s="62"/>
      <c r="N91" s="62"/>
      <c r="O91" s="62"/>
      <c r="P91" s="62"/>
      <c r="Q91" s="62"/>
      <c r="R91" s="62"/>
      <c r="S91" s="258"/>
      <c r="T91" s="248" t="str">
        <f t="shared" si="13"/>
        <v/>
      </c>
      <c r="U91" s="249" t="str">
        <f t="shared" si="14"/>
        <v/>
      </c>
      <c r="V91" s="294" t="str">
        <f t="shared" si="10"/>
        <v/>
      </c>
      <c r="W91" s="294" t="str">
        <f>IF(((E91="")+(F91="")),"",IF(VLOOKUP(F91,Mannschaften!$A$1:$B$54,2,FALSE)&lt;&gt;E91,"Reiter Mannschaften füllen",""))</f>
        <v/>
      </c>
      <c r="X91" s="248" t="str">
        <f>IF(ISBLANK(C91),"",IF((U91&gt;(LOOKUP(E91,WKNrListe,Übersicht!$O$7:$O$46)))+(U91&lt;(LOOKUP(E91,WKNrListe,Übersicht!$P$7:$P$46))),"JG falsch",""))</f>
        <v/>
      </c>
      <c r="Y91" s="255" t="str">
        <f>IF((A91="")*(B91=""),"",IF(ISERROR(MATCH(E91,WKNrListe,0)),"WK falsch",LOOKUP(E91,WKNrListe,Übersicht!$B$7:$B$46)))</f>
        <v/>
      </c>
      <c r="Z91" s="269" t="str">
        <f>IF(((AJ91=0)*(AH91&lt;&gt;"")*(AK91="-"))+((AJ91&lt;&gt;0)*(AH91&lt;&gt;"")*(AK91="-")),IF(AG91="X",Übersicht!$C$70,Übersicht!$C$69),"-")</f>
        <v>-</v>
      </c>
      <c r="AA91" s="252" t="str">
        <f>IF((($A91="")*($B91=""))+((MID($Y91,1,4)&lt;&gt;"Wahl")*(Deckblatt!$C$14='WK-Vorlagen'!$C$82))+(Deckblatt!$C$14&lt;&gt;'WK-Vorlagen'!$C$82),"",IF(ISERROR(MATCH(VALUE(MID(G91,1,2)),Schwierigkeitsstufen!$G$7:$G$19,0)),"Gerät falsch",LOOKUP(VALUE(MID(G91,1,2)),Schwierigkeitsstufen!$G$7:$G$19,Schwierigkeitsstufen!$H$7:$H$19)))</f>
        <v/>
      </c>
      <c r="AB91" s="250" t="str">
        <f>IF((($A91="")*($B91=""))+((MID($Y91,1,4)&lt;&gt;"Wahl")*(Deckblatt!$C$14='WK-Vorlagen'!$C$82))+(Deckblatt!$C$14&lt;&gt;'WK-Vorlagen'!$C$82),"",IF(ISERROR(MATCH(VALUE(MID(H91,1,2)),Schwierigkeitsstufen!$G$7:$G$19,0)),"Gerät falsch",LOOKUP(VALUE(MID(H91,1,2)),Schwierigkeitsstufen!$G$7:$G$19,Schwierigkeitsstufen!$H$7:$H$19)))</f>
        <v/>
      </c>
      <c r="AC91" s="250" t="str">
        <f>IF((($A91="")*($B91=""))+((MID($Y91,1,4)&lt;&gt;"Wahl")*(Deckblatt!$C$14='WK-Vorlagen'!$C$82))+(Deckblatt!$C$14&lt;&gt;'WK-Vorlagen'!$C$82),"",IF(ISERROR(MATCH(VALUE(MID(I91,1,2)),Schwierigkeitsstufen!$G$7:$G$19,0)),"Gerät falsch",LOOKUP(VALUE(MID(I91,1,2)),Schwierigkeitsstufen!$G$7:$G$19,Schwierigkeitsstufen!$H$7:$H$19)))</f>
        <v/>
      </c>
      <c r="AD91" s="251" t="str">
        <f>IF((($A91="")*($B91=""))+((MID($Y91,1,4)&lt;&gt;"Wahl")*(Deckblatt!$C$14='WK-Vorlagen'!$C$82))+(Deckblatt!$C$14&lt;&gt;'WK-Vorlagen'!$C$82),"",IF(ISERROR(MATCH(VALUE(MID(J91,1,2)),Schwierigkeitsstufen!$G$7:$G$19,0)),"Gerät falsch",LOOKUP(VALUE(MID(J91,1,2)),Schwierigkeitsstufen!$G$7:$G$19,Schwierigkeitsstufen!$H$7:$H$19)))</f>
        <v/>
      </c>
      <c r="AE91" s="211"/>
      <c r="AG91" s="221" t="str">
        <f t="shared" si="9"/>
        <v/>
      </c>
      <c r="AH91" s="222" t="str">
        <f t="shared" si="11"/>
        <v/>
      </c>
      <c r="AI91" s="220">
        <f t="shared" si="16"/>
        <v>4</v>
      </c>
      <c r="AJ91" s="222">
        <f t="shared" si="12"/>
        <v>0</v>
      </c>
      <c r="AK91" s="299" t="str">
        <f>IF(ISERROR(LOOKUP(E91,WKNrListe,Übersicht!$R$7:$R$46)),"-",LOOKUP(E91,WKNrListe,Übersicht!$R$7:$R$46))</f>
        <v>-</v>
      </c>
      <c r="AL91" s="299" t="str">
        <f t="shared" si="15"/>
        <v>-</v>
      </c>
      <c r="AM91" s="303"/>
      <c r="AN91" s="174" t="str">
        <f t="shared" si="8"/>
        <v>Leer</v>
      </c>
    </row>
    <row r="92" spans="1:40" s="174" customFormat="1" ht="15" customHeight="1">
      <c r="A92" s="63"/>
      <c r="B92" s="63"/>
      <c r="C92" s="84"/>
      <c r="D92" s="85"/>
      <c r="E92" s="62"/>
      <c r="F92" s="62"/>
      <c r="G92" s="62"/>
      <c r="H92" s="62"/>
      <c r="I92" s="62"/>
      <c r="J92" s="62"/>
      <c r="K92" s="62"/>
      <c r="L92" s="62"/>
      <c r="M92" s="62"/>
      <c r="N92" s="62"/>
      <c r="O92" s="62"/>
      <c r="P92" s="62"/>
      <c r="Q92" s="62"/>
      <c r="R92" s="62"/>
      <c r="S92" s="258"/>
      <c r="T92" s="248" t="str">
        <f t="shared" si="13"/>
        <v/>
      </c>
      <c r="U92" s="249" t="str">
        <f t="shared" si="14"/>
        <v/>
      </c>
      <c r="V92" s="294" t="str">
        <f t="shared" si="10"/>
        <v/>
      </c>
      <c r="W92" s="294" t="str">
        <f>IF(((E92="")+(F92="")),"",IF(VLOOKUP(F92,Mannschaften!$A$1:$B$54,2,FALSE)&lt;&gt;E92,"Reiter Mannschaften füllen",""))</f>
        <v/>
      </c>
      <c r="X92" s="248" t="str">
        <f>IF(ISBLANK(C92),"",IF((U92&gt;(LOOKUP(E92,WKNrListe,Übersicht!$O$7:$O$46)))+(U92&lt;(LOOKUP(E92,WKNrListe,Übersicht!$P$7:$P$46))),"JG falsch",""))</f>
        <v/>
      </c>
      <c r="Y92" s="255" t="str">
        <f>IF((A92="")*(B92=""),"",IF(ISERROR(MATCH(E92,WKNrListe,0)),"WK falsch",LOOKUP(E92,WKNrListe,Übersicht!$B$7:$B$46)))</f>
        <v/>
      </c>
      <c r="Z92" s="269" t="str">
        <f>IF(((AJ92=0)*(AH92&lt;&gt;"")*(AK92="-"))+((AJ92&lt;&gt;0)*(AH92&lt;&gt;"")*(AK92="-")),IF(AG92="X",Übersicht!$C$70,Übersicht!$C$69),"-")</f>
        <v>-</v>
      </c>
      <c r="AA92" s="252" t="str">
        <f>IF((($A92="")*($B92=""))+((MID($Y92,1,4)&lt;&gt;"Wahl")*(Deckblatt!$C$14='WK-Vorlagen'!$C$82))+(Deckblatt!$C$14&lt;&gt;'WK-Vorlagen'!$C$82),"",IF(ISERROR(MATCH(VALUE(MID(G92,1,2)),Schwierigkeitsstufen!$G$7:$G$19,0)),"Gerät falsch",LOOKUP(VALUE(MID(G92,1,2)),Schwierigkeitsstufen!$G$7:$G$19,Schwierigkeitsstufen!$H$7:$H$19)))</f>
        <v/>
      </c>
      <c r="AB92" s="250" t="str">
        <f>IF((($A92="")*($B92=""))+((MID($Y92,1,4)&lt;&gt;"Wahl")*(Deckblatt!$C$14='WK-Vorlagen'!$C$82))+(Deckblatt!$C$14&lt;&gt;'WK-Vorlagen'!$C$82),"",IF(ISERROR(MATCH(VALUE(MID(H92,1,2)),Schwierigkeitsstufen!$G$7:$G$19,0)),"Gerät falsch",LOOKUP(VALUE(MID(H92,1,2)),Schwierigkeitsstufen!$G$7:$G$19,Schwierigkeitsstufen!$H$7:$H$19)))</f>
        <v/>
      </c>
      <c r="AC92" s="250" t="str">
        <f>IF((($A92="")*($B92=""))+((MID($Y92,1,4)&lt;&gt;"Wahl")*(Deckblatt!$C$14='WK-Vorlagen'!$C$82))+(Deckblatt!$C$14&lt;&gt;'WK-Vorlagen'!$C$82),"",IF(ISERROR(MATCH(VALUE(MID(I92,1,2)),Schwierigkeitsstufen!$G$7:$G$19,0)),"Gerät falsch",LOOKUP(VALUE(MID(I92,1,2)),Schwierigkeitsstufen!$G$7:$G$19,Schwierigkeitsstufen!$H$7:$H$19)))</f>
        <v/>
      </c>
      <c r="AD92" s="251" t="str">
        <f>IF((($A92="")*($B92=""))+((MID($Y92,1,4)&lt;&gt;"Wahl")*(Deckblatt!$C$14='WK-Vorlagen'!$C$82))+(Deckblatt!$C$14&lt;&gt;'WK-Vorlagen'!$C$82),"",IF(ISERROR(MATCH(VALUE(MID(J92,1,2)),Schwierigkeitsstufen!$G$7:$G$19,0)),"Gerät falsch",LOOKUP(VALUE(MID(J92,1,2)),Schwierigkeitsstufen!$G$7:$G$19,Schwierigkeitsstufen!$H$7:$H$19)))</f>
        <v/>
      </c>
      <c r="AE92" s="211"/>
      <c r="AG92" s="221" t="str">
        <f t="shared" si="9"/>
        <v/>
      </c>
      <c r="AH92" s="222" t="str">
        <f t="shared" si="11"/>
        <v/>
      </c>
      <c r="AI92" s="220">
        <f t="shared" si="16"/>
        <v>4</v>
      </c>
      <c r="AJ92" s="222">
        <f t="shared" si="12"/>
        <v>0</v>
      </c>
      <c r="AK92" s="299" t="str">
        <f>IF(ISERROR(LOOKUP(E92,WKNrListe,Übersicht!$R$7:$R$46)),"-",LOOKUP(E92,WKNrListe,Übersicht!$R$7:$R$46))</f>
        <v>-</v>
      </c>
      <c r="AL92" s="299" t="str">
        <f t="shared" si="15"/>
        <v>-</v>
      </c>
      <c r="AM92" s="303"/>
      <c r="AN92" s="174" t="str">
        <f t="shared" si="8"/>
        <v>Leer</v>
      </c>
    </row>
    <row r="93" spans="1:40" s="174" customFormat="1" ht="15" customHeight="1">
      <c r="A93" s="63"/>
      <c r="B93" s="63"/>
      <c r="C93" s="84"/>
      <c r="D93" s="85"/>
      <c r="E93" s="62"/>
      <c r="F93" s="62"/>
      <c r="G93" s="62"/>
      <c r="H93" s="62"/>
      <c r="I93" s="62"/>
      <c r="J93" s="62"/>
      <c r="K93" s="62"/>
      <c r="L93" s="62"/>
      <c r="M93" s="62"/>
      <c r="N93" s="62"/>
      <c r="O93" s="62"/>
      <c r="P93" s="62"/>
      <c r="Q93" s="62"/>
      <c r="R93" s="62"/>
      <c r="S93" s="258"/>
      <c r="T93" s="248" t="str">
        <f t="shared" si="13"/>
        <v/>
      </c>
      <c r="U93" s="249" t="str">
        <f t="shared" si="14"/>
        <v/>
      </c>
      <c r="V93" s="294" t="str">
        <f t="shared" si="10"/>
        <v/>
      </c>
      <c r="W93" s="294" t="str">
        <f>IF(((E93="")+(F93="")),"",IF(VLOOKUP(F93,Mannschaften!$A$1:$B$54,2,FALSE)&lt;&gt;E93,"Reiter Mannschaften füllen",""))</f>
        <v/>
      </c>
      <c r="X93" s="248" t="str">
        <f>IF(ISBLANK(C93),"",IF((U93&gt;(LOOKUP(E93,WKNrListe,Übersicht!$O$7:$O$46)))+(U93&lt;(LOOKUP(E93,WKNrListe,Übersicht!$P$7:$P$46))),"JG falsch",""))</f>
        <v/>
      </c>
      <c r="Y93" s="255" t="str">
        <f>IF((A93="")*(B93=""),"",IF(ISERROR(MATCH(E93,WKNrListe,0)),"WK falsch",LOOKUP(E93,WKNrListe,Übersicht!$B$7:$B$46)))</f>
        <v/>
      </c>
      <c r="Z93" s="269" t="str">
        <f>IF(((AJ93=0)*(AH93&lt;&gt;"")*(AK93="-"))+((AJ93&lt;&gt;0)*(AH93&lt;&gt;"")*(AK93="-")),IF(AG93="X",Übersicht!$C$70,Übersicht!$C$69),"-")</f>
        <v>-</v>
      </c>
      <c r="AA93" s="252" t="str">
        <f>IF((($A93="")*($B93=""))+((MID($Y93,1,4)&lt;&gt;"Wahl")*(Deckblatt!$C$14='WK-Vorlagen'!$C$82))+(Deckblatt!$C$14&lt;&gt;'WK-Vorlagen'!$C$82),"",IF(ISERROR(MATCH(VALUE(MID(G93,1,2)),Schwierigkeitsstufen!$G$7:$G$19,0)),"Gerät falsch",LOOKUP(VALUE(MID(G93,1,2)),Schwierigkeitsstufen!$G$7:$G$19,Schwierigkeitsstufen!$H$7:$H$19)))</f>
        <v/>
      </c>
      <c r="AB93" s="250" t="str">
        <f>IF((($A93="")*($B93=""))+((MID($Y93,1,4)&lt;&gt;"Wahl")*(Deckblatt!$C$14='WK-Vorlagen'!$C$82))+(Deckblatt!$C$14&lt;&gt;'WK-Vorlagen'!$C$82),"",IF(ISERROR(MATCH(VALUE(MID(H93,1,2)),Schwierigkeitsstufen!$G$7:$G$19,0)),"Gerät falsch",LOOKUP(VALUE(MID(H93,1,2)),Schwierigkeitsstufen!$G$7:$G$19,Schwierigkeitsstufen!$H$7:$H$19)))</f>
        <v/>
      </c>
      <c r="AC93" s="250" t="str">
        <f>IF((($A93="")*($B93=""))+((MID($Y93,1,4)&lt;&gt;"Wahl")*(Deckblatt!$C$14='WK-Vorlagen'!$C$82))+(Deckblatt!$C$14&lt;&gt;'WK-Vorlagen'!$C$82),"",IF(ISERROR(MATCH(VALUE(MID(I93,1,2)),Schwierigkeitsstufen!$G$7:$G$19,0)),"Gerät falsch",LOOKUP(VALUE(MID(I93,1,2)),Schwierigkeitsstufen!$G$7:$G$19,Schwierigkeitsstufen!$H$7:$H$19)))</f>
        <v/>
      </c>
      <c r="AD93" s="251" t="str">
        <f>IF((($A93="")*($B93=""))+((MID($Y93,1,4)&lt;&gt;"Wahl")*(Deckblatt!$C$14='WK-Vorlagen'!$C$82))+(Deckblatt!$C$14&lt;&gt;'WK-Vorlagen'!$C$82),"",IF(ISERROR(MATCH(VALUE(MID(J93,1,2)),Schwierigkeitsstufen!$G$7:$G$19,0)),"Gerät falsch",LOOKUP(VALUE(MID(J93,1,2)),Schwierigkeitsstufen!$G$7:$G$19,Schwierigkeitsstufen!$H$7:$H$19)))</f>
        <v/>
      </c>
      <c r="AE93" s="211"/>
      <c r="AG93" s="221" t="str">
        <f t="shared" si="9"/>
        <v/>
      </c>
      <c r="AH93" s="222" t="str">
        <f t="shared" si="11"/>
        <v/>
      </c>
      <c r="AI93" s="220">
        <f t="shared" si="16"/>
        <v>4</v>
      </c>
      <c r="AJ93" s="222">
        <f t="shared" si="12"/>
        <v>0</v>
      </c>
      <c r="AK93" s="299" t="str">
        <f>IF(ISERROR(LOOKUP(E93,WKNrListe,Übersicht!$R$7:$R$46)),"-",LOOKUP(E93,WKNrListe,Übersicht!$R$7:$R$46))</f>
        <v>-</v>
      </c>
      <c r="AL93" s="299" t="str">
        <f t="shared" si="15"/>
        <v>-</v>
      </c>
      <c r="AM93" s="303"/>
      <c r="AN93" s="174" t="str">
        <f t="shared" si="8"/>
        <v>Leer</v>
      </c>
    </row>
    <row r="94" spans="1:40" s="174" customFormat="1" ht="15" customHeight="1">
      <c r="A94" s="63"/>
      <c r="B94" s="63"/>
      <c r="C94" s="84"/>
      <c r="D94" s="85"/>
      <c r="E94" s="62"/>
      <c r="F94" s="62"/>
      <c r="G94" s="62"/>
      <c r="H94" s="62"/>
      <c r="I94" s="62"/>
      <c r="J94" s="62"/>
      <c r="K94" s="62"/>
      <c r="L94" s="62"/>
      <c r="M94" s="62"/>
      <c r="N94" s="62"/>
      <c r="O94" s="62"/>
      <c r="P94" s="62"/>
      <c r="Q94" s="62"/>
      <c r="R94" s="62"/>
      <c r="S94" s="258"/>
      <c r="T94" s="248" t="str">
        <f t="shared" si="13"/>
        <v/>
      </c>
      <c r="U94" s="249" t="str">
        <f t="shared" si="14"/>
        <v/>
      </c>
      <c r="V94" s="294" t="str">
        <f t="shared" si="10"/>
        <v/>
      </c>
      <c r="W94" s="294" t="str">
        <f>IF(((E94="")+(F94="")),"",IF(VLOOKUP(F94,Mannschaften!$A$1:$B$54,2,FALSE)&lt;&gt;E94,"Reiter Mannschaften füllen",""))</f>
        <v/>
      </c>
      <c r="X94" s="248" t="str">
        <f>IF(ISBLANK(C94),"",IF((U94&gt;(LOOKUP(E94,WKNrListe,Übersicht!$O$7:$O$46)))+(U94&lt;(LOOKUP(E94,WKNrListe,Übersicht!$P$7:$P$46))),"JG falsch",""))</f>
        <v/>
      </c>
      <c r="Y94" s="255" t="str">
        <f>IF((A94="")*(B94=""),"",IF(ISERROR(MATCH(E94,WKNrListe,0)),"WK falsch",LOOKUP(E94,WKNrListe,Übersicht!$B$7:$B$46)))</f>
        <v/>
      </c>
      <c r="Z94" s="269" t="str">
        <f>IF(((AJ94=0)*(AH94&lt;&gt;"")*(AK94="-"))+((AJ94&lt;&gt;0)*(AH94&lt;&gt;"")*(AK94="-")),IF(AG94="X",Übersicht!$C$70,Übersicht!$C$69),"-")</f>
        <v>-</v>
      </c>
      <c r="AA94" s="252" t="str">
        <f>IF((($A94="")*($B94=""))+((MID($Y94,1,4)&lt;&gt;"Wahl")*(Deckblatt!$C$14='WK-Vorlagen'!$C$82))+(Deckblatt!$C$14&lt;&gt;'WK-Vorlagen'!$C$82),"",IF(ISERROR(MATCH(VALUE(MID(G94,1,2)),Schwierigkeitsstufen!$G$7:$G$19,0)),"Gerät falsch",LOOKUP(VALUE(MID(G94,1,2)),Schwierigkeitsstufen!$G$7:$G$19,Schwierigkeitsstufen!$H$7:$H$19)))</f>
        <v/>
      </c>
      <c r="AB94" s="250" t="str">
        <f>IF((($A94="")*($B94=""))+((MID($Y94,1,4)&lt;&gt;"Wahl")*(Deckblatt!$C$14='WK-Vorlagen'!$C$82))+(Deckblatt!$C$14&lt;&gt;'WK-Vorlagen'!$C$82),"",IF(ISERROR(MATCH(VALUE(MID(H94,1,2)),Schwierigkeitsstufen!$G$7:$G$19,0)),"Gerät falsch",LOOKUP(VALUE(MID(H94,1,2)),Schwierigkeitsstufen!$G$7:$G$19,Schwierigkeitsstufen!$H$7:$H$19)))</f>
        <v/>
      </c>
      <c r="AC94" s="250" t="str">
        <f>IF((($A94="")*($B94=""))+((MID($Y94,1,4)&lt;&gt;"Wahl")*(Deckblatt!$C$14='WK-Vorlagen'!$C$82))+(Deckblatt!$C$14&lt;&gt;'WK-Vorlagen'!$C$82),"",IF(ISERROR(MATCH(VALUE(MID(I94,1,2)),Schwierigkeitsstufen!$G$7:$G$19,0)),"Gerät falsch",LOOKUP(VALUE(MID(I94,1,2)),Schwierigkeitsstufen!$G$7:$G$19,Schwierigkeitsstufen!$H$7:$H$19)))</f>
        <v/>
      </c>
      <c r="AD94" s="251" t="str">
        <f>IF((($A94="")*($B94=""))+((MID($Y94,1,4)&lt;&gt;"Wahl")*(Deckblatt!$C$14='WK-Vorlagen'!$C$82))+(Deckblatt!$C$14&lt;&gt;'WK-Vorlagen'!$C$82),"",IF(ISERROR(MATCH(VALUE(MID(J94,1,2)),Schwierigkeitsstufen!$G$7:$G$19,0)),"Gerät falsch",LOOKUP(VALUE(MID(J94,1,2)),Schwierigkeitsstufen!$G$7:$G$19,Schwierigkeitsstufen!$H$7:$H$19)))</f>
        <v/>
      </c>
      <c r="AE94" s="211"/>
      <c r="AG94" s="221" t="str">
        <f t="shared" si="9"/>
        <v/>
      </c>
      <c r="AH94" s="222" t="str">
        <f t="shared" si="11"/>
        <v/>
      </c>
      <c r="AI94" s="220">
        <f t="shared" si="16"/>
        <v>4</v>
      </c>
      <c r="AJ94" s="222">
        <f t="shared" si="12"/>
        <v>0</v>
      </c>
      <c r="AK94" s="299" t="str">
        <f>IF(ISERROR(LOOKUP(E94,WKNrListe,Übersicht!$R$7:$R$46)),"-",LOOKUP(E94,WKNrListe,Übersicht!$R$7:$R$46))</f>
        <v>-</v>
      </c>
      <c r="AL94" s="299" t="str">
        <f t="shared" si="15"/>
        <v>-</v>
      </c>
      <c r="AM94" s="303"/>
      <c r="AN94" s="174" t="str">
        <f t="shared" si="8"/>
        <v>Leer</v>
      </c>
    </row>
    <row r="95" spans="1:40" s="174" customFormat="1" ht="15" customHeight="1">
      <c r="A95" s="63"/>
      <c r="B95" s="63"/>
      <c r="C95" s="84"/>
      <c r="D95" s="85"/>
      <c r="E95" s="62"/>
      <c r="F95" s="62"/>
      <c r="G95" s="62"/>
      <c r="H95" s="62"/>
      <c r="I95" s="62"/>
      <c r="J95" s="62"/>
      <c r="K95" s="62"/>
      <c r="L95" s="62"/>
      <c r="M95" s="62"/>
      <c r="N95" s="62"/>
      <c r="O95" s="62"/>
      <c r="P95" s="62"/>
      <c r="Q95" s="62"/>
      <c r="R95" s="62"/>
      <c r="S95" s="258"/>
      <c r="T95" s="248" t="str">
        <f t="shared" si="13"/>
        <v/>
      </c>
      <c r="U95" s="249" t="str">
        <f t="shared" si="14"/>
        <v/>
      </c>
      <c r="V95" s="294" t="str">
        <f t="shared" si="10"/>
        <v/>
      </c>
      <c r="W95" s="294" t="str">
        <f>IF(((E95="")+(F95="")),"",IF(VLOOKUP(F95,Mannschaften!$A$1:$B$54,2,FALSE)&lt;&gt;E95,"Reiter Mannschaften füllen",""))</f>
        <v/>
      </c>
      <c r="X95" s="248" t="str">
        <f>IF(ISBLANK(C95),"",IF((U95&gt;(LOOKUP(E95,WKNrListe,Übersicht!$O$7:$O$46)))+(U95&lt;(LOOKUP(E95,WKNrListe,Übersicht!$P$7:$P$46))),"JG falsch",""))</f>
        <v/>
      </c>
      <c r="Y95" s="255" t="str">
        <f>IF((A95="")*(B95=""),"",IF(ISERROR(MATCH(E95,WKNrListe,0)),"WK falsch",LOOKUP(E95,WKNrListe,Übersicht!$B$7:$B$46)))</f>
        <v/>
      </c>
      <c r="Z95" s="269" t="str">
        <f>IF(((AJ95=0)*(AH95&lt;&gt;"")*(AK95="-"))+((AJ95&lt;&gt;0)*(AH95&lt;&gt;"")*(AK95="-")),IF(AG95="X",Übersicht!$C$70,Übersicht!$C$69),"-")</f>
        <v>-</v>
      </c>
      <c r="AA95" s="252" t="str">
        <f>IF((($A95="")*($B95=""))+((MID($Y95,1,4)&lt;&gt;"Wahl")*(Deckblatt!$C$14='WK-Vorlagen'!$C$82))+(Deckblatt!$C$14&lt;&gt;'WK-Vorlagen'!$C$82),"",IF(ISERROR(MATCH(VALUE(MID(G95,1,2)),Schwierigkeitsstufen!$G$7:$G$19,0)),"Gerät falsch",LOOKUP(VALUE(MID(G95,1,2)),Schwierigkeitsstufen!$G$7:$G$19,Schwierigkeitsstufen!$H$7:$H$19)))</f>
        <v/>
      </c>
      <c r="AB95" s="250" t="str">
        <f>IF((($A95="")*($B95=""))+((MID($Y95,1,4)&lt;&gt;"Wahl")*(Deckblatt!$C$14='WK-Vorlagen'!$C$82))+(Deckblatt!$C$14&lt;&gt;'WK-Vorlagen'!$C$82),"",IF(ISERROR(MATCH(VALUE(MID(H95,1,2)),Schwierigkeitsstufen!$G$7:$G$19,0)),"Gerät falsch",LOOKUP(VALUE(MID(H95,1,2)),Schwierigkeitsstufen!$G$7:$G$19,Schwierigkeitsstufen!$H$7:$H$19)))</f>
        <v/>
      </c>
      <c r="AC95" s="250" t="str">
        <f>IF((($A95="")*($B95=""))+((MID($Y95,1,4)&lt;&gt;"Wahl")*(Deckblatt!$C$14='WK-Vorlagen'!$C$82))+(Deckblatt!$C$14&lt;&gt;'WK-Vorlagen'!$C$82),"",IF(ISERROR(MATCH(VALUE(MID(I95,1,2)),Schwierigkeitsstufen!$G$7:$G$19,0)),"Gerät falsch",LOOKUP(VALUE(MID(I95,1,2)),Schwierigkeitsstufen!$G$7:$G$19,Schwierigkeitsstufen!$H$7:$H$19)))</f>
        <v/>
      </c>
      <c r="AD95" s="251" t="str">
        <f>IF((($A95="")*($B95=""))+((MID($Y95,1,4)&lt;&gt;"Wahl")*(Deckblatt!$C$14='WK-Vorlagen'!$C$82))+(Deckblatt!$C$14&lt;&gt;'WK-Vorlagen'!$C$82),"",IF(ISERROR(MATCH(VALUE(MID(J95,1,2)),Schwierigkeitsstufen!$G$7:$G$19,0)),"Gerät falsch",LOOKUP(VALUE(MID(J95,1,2)),Schwierigkeitsstufen!$G$7:$G$19,Schwierigkeitsstufen!$H$7:$H$19)))</f>
        <v/>
      </c>
      <c r="AE95" s="211"/>
      <c r="AG95" s="221" t="str">
        <f t="shared" si="9"/>
        <v/>
      </c>
      <c r="AH95" s="222" t="str">
        <f t="shared" si="11"/>
        <v/>
      </c>
      <c r="AI95" s="220">
        <f t="shared" si="16"/>
        <v>4</v>
      </c>
      <c r="AJ95" s="222">
        <f t="shared" si="12"/>
        <v>0</v>
      </c>
      <c r="AK95" s="299" t="str">
        <f>IF(ISERROR(LOOKUP(E95,WKNrListe,Übersicht!$R$7:$R$46)),"-",LOOKUP(E95,WKNrListe,Übersicht!$R$7:$R$46))</f>
        <v>-</v>
      </c>
      <c r="AL95" s="299" t="str">
        <f t="shared" si="15"/>
        <v>-</v>
      </c>
      <c r="AM95" s="303"/>
      <c r="AN95" s="174" t="str">
        <f t="shared" si="8"/>
        <v>Leer</v>
      </c>
    </row>
    <row r="96" spans="1:40" s="174" customFormat="1" ht="15" customHeight="1">
      <c r="A96" s="63"/>
      <c r="B96" s="63"/>
      <c r="C96" s="84"/>
      <c r="D96" s="85"/>
      <c r="E96" s="62"/>
      <c r="F96" s="62"/>
      <c r="G96" s="62"/>
      <c r="H96" s="62"/>
      <c r="I96" s="62"/>
      <c r="J96" s="62"/>
      <c r="K96" s="62"/>
      <c r="L96" s="62"/>
      <c r="M96" s="62"/>
      <c r="N96" s="62"/>
      <c r="O96" s="62"/>
      <c r="P96" s="62"/>
      <c r="Q96" s="62"/>
      <c r="R96" s="62"/>
      <c r="S96" s="258"/>
      <c r="T96" s="248" t="str">
        <f t="shared" si="13"/>
        <v/>
      </c>
      <c r="U96" s="249" t="str">
        <f t="shared" si="14"/>
        <v/>
      </c>
      <c r="V96" s="294" t="str">
        <f t="shared" si="10"/>
        <v/>
      </c>
      <c r="W96" s="294" t="str">
        <f>IF(((E96="")+(F96="")),"",IF(VLOOKUP(F96,Mannschaften!$A$1:$B$54,2,FALSE)&lt;&gt;E96,"Reiter Mannschaften füllen",""))</f>
        <v/>
      </c>
      <c r="X96" s="248" t="str">
        <f>IF(ISBLANK(C96),"",IF((U96&gt;(LOOKUP(E96,WKNrListe,Übersicht!$O$7:$O$46)))+(U96&lt;(LOOKUP(E96,WKNrListe,Übersicht!$P$7:$P$46))),"JG falsch",""))</f>
        <v/>
      </c>
      <c r="Y96" s="255" t="str">
        <f>IF((A96="")*(B96=""),"",IF(ISERROR(MATCH(E96,WKNrListe,0)),"WK falsch",LOOKUP(E96,WKNrListe,Übersicht!$B$7:$B$46)))</f>
        <v/>
      </c>
      <c r="Z96" s="269" t="str">
        <f>IF(((AJ96=0)*(AH96&lt;&gt;"")*(AK96="-"))+((AJ96&lt;&gt;0)*(AH96&lt;&gt;"")*(AK96="-")),IF(AG96="X",Übersicht!$C$70,Übersicht!$C$69),"-")</f>
        <v>-</v>
      </c>
      <c r="AA96" s="252" t="str">
        <f>IF((($A96="")*($B96=""))+((MID($Y96,1,4)&lt;&gt;"Wahl")*(Deckblatt!$C$14='WK-Vorlagen'!$C$82))+(Deckblatt!$C$14&lt;&gt;'WK-Vorlagen'!$C$82),"",IF(ISERROR(MATCH(VALUE(MID(G96,1,2)),Schwierigkeitsstufen!$G$7:$G$19,0)),"Gerät falsch",LOOKUP(VALUE(MID(G96,1,2)),Schwierigkeitsstufen!$G$7:$G$19,Schwierigkeitsstufen!$H$7:$H$19)))</f>
        <v/>
      </c>
      <c r="AB96" s="250" t="str">
        <f>IF((($A96="")*($B96=""))+((MID($Y96,1,4)&lt;&gt;"Wahl")*(Deckblatt!$C$14='WK-Vorlagen'!$C$82))+(Deckblatt!$C$14&lt;&gt;'WK-Vorlagen'!$C$82),"",IF(ISERROR(MATCH(VALUE(MID(H96,1,2)),Schwierigkeitsstufen!$G$7:$G$19,0)),"Gerät falsch",LOOKUP(VALUE(MID(H96,1,2)),Schwierigkeitsstufen!$G$7:$G$19,Schwierigkeitsstufen!$H$7:$H$19)))</f>
        <v/>
      </c>
      <c r="AC96" s="250" t="str">
        <f>IF((($A96="")*($B96=""))+((MID($Y96,1,4)&lt;&gt;"Wahl")*(Deckblatt!$C$14='WK-Vorlagen'!$C$82))+(Deckblatt!$C$14&lt;&gt;'WK-Vorlagen'!$C$82),"",IF(ISERROR(MATCH(VALUE(MID(I96,1,2)),Schwierigkeitsstufen!$G$7:$G$19,0)),"Gerät falsch",LOOKUP(VALUE(MID(I96,1,2)),Schwierigkeitsstufen!$G$7:$G$19,Schwierigkeitsstufen!$H$7:$H$19)))</f>
        <v/>
      </c>
      <c r="AD96" s="251" t="str">
        <f>IF((($A96="")*($B96=""))+((MID($Y96,1,4)&lt;&gt;"Wahl")*(Deckblatt!$C$14='WK-Vorlagen'!$C$82))+(Deckblatt!$C$14&lt;&gt;'WK-Vorlagen'!$C$82),"",IF(ISERROR(MATCH(VALUE(MID(J96,1,2)),Schwierigkeitsstufen!$G$7:$G$19,0)),"Gerät falsch",LOOKUP(VALUE(MID(J96,1,2)),Schwierigkeitsstufen!$G$7:$G$19,Schwierigkeitsstufen!$H$7:$H$19)))</f>
        <v/>
      </c>
      <c r="AE96" s="211"/>
      <c r="AG96" s="221" t="str">
        <f t="shared" si="9"/>
        <v/>
      </c>
      <c r="AH96" s="222" t="str">
        <f t="shared" si="11"/>
        <v/>
      </c>
      <c r="AI96" s="220">
        <f t="shared" si="16"/>
        <v>4</v>
      </c>
      <c r="AJ96" s="222">
        <f t="shared" si="12"/>
        <v>0</v>
      </c>
      <c r="AK96" s="299" t="str">
        <f>IF(ISERROR(LOOKUP(E96,WKNrListe,Übersicht!$R$7:$R$46)),"-",LOOKUP(E96,WKNrListe,Übersicht!$R$7:$R$46))</f>
        <v>-</v>
      </c>
      <c r="AL96" s="299" t="str">
        <f t="shared" si="15"/>
        <v>-</v>
      </c>
      <c r="AM96" s="303"/>
      <c r="AN96" s="174" t="str">
        <f t="shared" si="8"/>
        <v>Leer</v>
      </c>
    </row>
    <row r="97" spans="1:40" s="174" customFormat="1" ht="15" customHeight="1">
      <c r="A97" s="63"/>
      <c r="B97" s="63"/>
      <c r="C97" s="84"/>
      <c r="D97" s="85"/>
      <c r="E97" s="62"/>
      <c r="F97" s="62"/>
      <c r="G97" s="62"/>
      <c r="H97" s="62"/>
      <c r="I97" s="62"/>
      <c r="J97" s="62"/>
      <c r="K97" s="62"/>
      <c r="L97" s="62"/>
      <c r="M97" s="62"/>
      <c r="N97" s="62"/>
      <c r="O97" s="62"/>
      <c r="P97" s="62"/>
      <c r="Q97" s="62"/>
      <c r="R97" s="62"/>
      <c r="S97" s="258"/>
      <c r="T97" s="248" t="str">
        <f t="shared" si="13"/>
        <v/>
      </c>
      <c r="U97" s="249" t="str">
        <f t="shared" si="14"/>
        <v/>
      </c>
      <c r="V97" s="294" t="str">
        <f t="shared" si="10"/>
        <v/>
      </c>
      <c r="W97" s="294" t="str">
        <f>IF(((E97="")+(F97="")),"",IF(VLOOKUP(F97,Mannschaften!$A$1:$B$54,2,FALSE)&lt;&gt;E97,"Reiter Mannschaften füllen",""))</f>
        <v/>
      </c>
      <c r="X97" s="248" t="str">
        <f>IF(ISBLANK(C97),"",IF((U97&gt;(LOOKUP(E97,WKNrListe,Übersicht!$O$7:$O$46)))+(U97&lt;(LOOKUP(E97,WKNrListe,Übersicht!$P$7:$P$46))),"JG falsch",""))</f>
        <v/>
      </c>
      <c r="Y97" s="255" t="str">
        <f>IF((A97="")*(B97=""),"",IF(ISERROR(MATCH(E97,WKNrListe,0)),"WK falsch",LOOKUP(E97,WKNrListe,Übersicht!$B$7:$B$46)))</f>
        <v/>
      </c>
      <c r="Z97" s="269" t="str">
        <f>IF(((AJ97=0)*(AH97&lt;&gt;"")*(AK97="-"))+((AJ97&lt;&gt;0)*(AH97&lt;&gt;"")*(AK97="-")),IF(AG97="X",Übersicht!$C$70,Übersicht!$C$69),"-")</f>
        <v>-</v>
      </c>
      <c r="AA97" s="252" t="str">
        <f>IF((($A97="")*($B97=""))+((MID($Y97,1,4)&lt;&gt;"Wahl")*(Deckblatt!$C$14='WK-Vorlagen'!$C$82))+(Deckblatt!$C$14&lt;&gt;'WK-Vorlagen'!$C$82),"",IF(ISERROR(MATCH(VALUE(MID(G97,1,2)),Schwierigkeitsstufen!$G$7:$G$19,0)),"Gerät falsch",LOOKUP(VALUE(MID(G97,1,2)),Schwierigkeitsstufen!$G$7:$G$19,Schwierigkeitsstufen!$H$7:$H$19)))</f>
        <v/>
      </c>
      <c r="AB97" s="250" t="str">
        <f>IF((($A97="")*($B97=""))+((MID($Y97,1,4)&lt;&gt;"Wahl")*(Deckblatt!$C$14='WK-Vorlagen'!$C$82))+(Deckblatt!$C$14&lt;&gt;'WK-Vorlagen'!$C$82),"",IF(ISERROR(MATCH(VALUE(MID(H97,1,2)),Schwierigkeitsstufen!$G$7:$G$19,0)),"Gerät falsch",LOOKUP(VALUE(MID(H97,1,2)),Schwierigkeitsstufen!$G$7:$G$19,Schwierigkeitsstufen!$H$7:$H$19)))</f>
        <v/>
      </c>
      <c r="AC97" s="250" t="str">
        <f>IF((($A97="")*($B97=""))+((MID($Y97,1,4)&lt;&gt;"Wahl")*(Deckblatt!$C$14='WK-Vorlagen'!$C$82))+(Deckblatt!$C$14&lt;&gt;'WK-Vorlagen'!$C$82),"",IF(ISERROR(MATCH(VALUE(MID(I97,1,2)),Schwierigkeitsstufen!$G$7:$G$19,0)),"Gerät falsch",LOOKUP(VALUE(MID(I97,1,2)),Schwierigkeitsstufen!$G$7:$G$19,Schwierigkeitsstufen!$H$7:$H$19)))</f>
        <v/>
      </c>
      <c r="AD97" s="251" t="str">
        <f>IF((($A97="")*($B97=""))+((MID($Y97,1,4)&lt;&gt;"Wahl")*(Deckblatt!$C$14='WK-Vorlagen'!$C$82))+(Deckblatt!$C$14&lt;&gt;'WK-Vorlagen'!$C$82),"",IF(ISERROR(MATCH(VALUE(MID(J97,1,2)),Schwierigkeitsstufen!$G$7:$G$19,0)),"Gerät falsch",LOOKUP(VALUE(MID(J97,1,2)),Schwierigkeitsstufen!$G$7:$G$19,Schwierigkeitsstufen!$H$7:$H$19)))</f>
        <v/>
      </c>
      <c r="AE97" s="211"/>
      <c r="AG97" s="221" t="str">
        <f t="shared" si="9"/>
        <v/>
      </c>
      <c r="AH97" s="222" t="str">
        <f t="shared" si="11"/>
        <v/>
      </c>
      <c r="AI97" s="220">
        <f t="shared" si="16"/>
        <v>4</v>
      </c>
      <c r="AJ97" s="222">
        <f t="shared" si="12"/>
        <v>0</v>
      </c>
      <c r="AK97" s="299" t="str">
        <f>IF(ISERROR(LOOKUP(E97,WKNrListe,Übersicht!$R$7:$R$46)),"-",LOOKUP(E97,WKNrListe,Übersicht!$R$7:$R$46))</f>
        <v>-</v>
      </c>
      <c r="AL97" s="299" t="str">
        <f t="shared" si="15"/>
        <v>-</v>
      </c>
      <c r="AM97" s="303"/>
      <c r="AN97" s="174" t="str">
        <f t="shared" si="8"/>
        <v>Leer</v>
      </c>
    </row>
    <row r="98" spans="1:40" s="174" customFormat="1" ht="15" customHeight="1">
      <c r="A98" s="63"/>
      <c r="B98" s="63"/>
      <c r="C98" s="84"/>
      <c r="D98" s="85"/>
      <c r="E98" s="62"/>
      <c r="F98" s="62"/>
      <c r="G98" s="62"/>
      <c r="H98" s="62"/>
      <c r="I98" s="62"/>
      <c r="J98" s="62"/>
      <c r="K98" s="62"/>
      <c r="L98" s="62"/>
      <c r="M98" s="62"/>
      <c r="N98" s="62"/>
      <c r="O98" s="62"/>
      <c r="P98" s="62"/>
      <c r="Q98" s="62"/>
      <c r="R98" s="62"/>
      <c r="S98" s="258"/>
      <c r="T98" s="248" t="str">
        <f t="shared" si="13"/>
        <v/>
      </c>
      <c r="U98" s="249" t="str">
        <f t="shared" si="14"/>
        <v/>
      </c>
      <c r="V98" s="294" t="str">
        <f t="shared" si="10"/>
        <v/>
      </c>
      <c r="W98" s="294" t="str">
        <f>IF(((E98="")+(F98="")),"",IF(VLOOKUP(F98,Mannschaften!$A$1:$B$54,2,FALSE)&lt;&gt;E98,"Reiter Mannschaften füllen",""))</f>
        <v/>
      </c>
      <c r="X98" s="248" t="str">
        <f>IF(ISBLANK(C98),"",IF((U98&gt;(LOOKUP(E98,WKNrListe,Übersicht!$O$7:$O$46)))+(U98&lt;(LOOKUP(E98,WKNrListe,Übersicht!$P$7:$P$46))),"JG falsch",""))</f>
        <v/>
      </c>
      <c r="Y98" s="255" t="str">
        <f>IF((A98="")*(B98=""),"",IF(ISERROR(MATCH(E98,WKNrListe,0)),"WK falsch",LOOKUP(E98,WKNrListe,Übersicht!$B$7:$B$46)))</f>
        <v/>
      </c>
      <c r="Z98" s="269" t="str">
        <f>IF(((AJ98=0)*(AH98&lt;&gt;"")*(AK98="-"))+((AJ98&lt;&gt;0)*(AH98&lt;&gt;"")*(AK98="-")),IF(AG98="X",Übersicht!$C$70,Übersicht!$C$69),"-")</f>
        <v>-</v>
      </c>
      <c r="AA98" s="252" t="str">
        <f>IF((($A98="")*($B98=""))+((MID($Y98,1,4)&lt;&gt;"Wahl")*(Deckblatt!$C$14='WK-Vorlagen'!$C$82))+(Deckblatt!$C$14&lt;&gt;'WK-Vorlagen'!$C$82),"",IF(ISERROR(MATCH(VALUE(MID(G98,1,2)),Schwierigkeitsstufen!$G$7:$G$19,0)),"Gerät falsch",LOOKUP(VALUE(MID(G98,1,2)),Schwierigkeitsstufen!$G$7:$G$19,Schwierigkeitsstufen!$H$7:$H$19)))</f>
        <v/>
      </c>
      <c r="AB98" s="250" t="str">
        <f>IF((($A98="")*($B98=""))+((MID($Y98,1,4)&lt;&gt;"Wahl")*(Deckblatt!$C$14='WK-Vorlagen'!$C$82))+(Deckblatt!$C$14&lt;&gt;'WK-Vorlagen'!$C$82),"",IF(ISERROR(MATCH(VALUE(MID(H98,1,2)),Schwierigkeitsstufen!$G$7:$G$19,0)),"Gerät falsch",LOOKUP(VALUE(MID(H98,1,2)),Schwierigkeitsstufen!$G$7:$G$19,Schwierigkeitsstufen!$H$7:$H$19)))</f>
        <v/>
      </c>
      <c r="AC98" s="250" t="str">
        <f>IF((($A98="")*($B98=""))+((MID($Y98,1,4)&lt;&gt;"Wahl")*(Deckblatt!$C$14='WK-Vorlagen'!$C$82))+(Deckblatt!$C$14&lt;&gt;'WK-Vorlagen'!$C$82),"",IF(ISERROR(MATCH(VALUE(MID(I98,1,2)),Schwierigkeitsstufen!$G$7:$G$19,0)),"Gerät falsch",LOOKUP(VALUE(MID(I98,1,2)),Schwierigkeitsstufen!$G$7:$G$19,Schwierigkeitsstufen!$H$7:$H$19)))</f>
        <v/>
      </c>
      <c r="AD98" s="251" t="str">
        <f>IF((($A98="")*($B98=""))+((MID($Y98,1,4)&lt;&gt;"Wahl")*(Deckblatt!$C$14='WK-Vorlagen'!$C$82))+(Deckblatt!$C$14&lt;&gt;'WK-Vorlagen'!$C$82),"",IF(ISERROR(MATCH(VALUE(MID(J98,1,2)),Schwierigkeitsstufen!$G$7:$G$19,0)),"Gerät falsch",LOOKUP(VALUE(MID(J98,1,2)),Schwierigkeitsstufen!$G$7:$G$19,Schwierigkeitsstufen!$H$7:$H$19)))</f>
        <v/>
      </c>
      <c r="AE98" s="211"/>
      <c r="AG98" s="221" t="str">
        <f t="shared" si="9"/>
        <v/>
      </c>
      <c r="AH98" s="222" t="str">
        <f t="shared" si="11"/>
        <v/>
      </c>
      <c r="AI98" s="220">
        <f t="shared" si="16"/>
        <v>4</v>
      </c>
      <c r="AJ98" s="222">
        <f t="shared" si="12"/>
        <v>0</v>
      </c>
      <c r="AK98" s="299" t="str">
        <f>IF(ISERROR(LOOKUP(E98,WKNrListe,Übersicht!$R$7:$R$46)),"-",LOOKUP(E98,WKNrListe,Übersicht!$R$7:$R$46))</f>
        <v>-</v>
      </c>
      <c r="AL98" s="299" t="str">
        <f t="shared" si="15"/>
        <v>-</v>
      </c>
      <c r="AM98" s="303"/>
      <c r="AN98" s="174" t="str">
        <f t="shared" si="8"/>
        <v>Leer</v>
      </c>
    </row>
    <row r="99" spans="1:40" s="174" customFormat="1" ht="15" customHeight="1">
      <c r="A99" s="63"/>
      <c r="B99" s="63"/>
      <c r="C99" s="84"/>
      <c r="D99" s="85"/>
      <c r="E99" s="62"/>
      <c r="F99" s="62"/>
      <c r="G99" s="62"/>
      <c r="H99" s="62"/>
      <c r="I99" s="62"/>
      <c r="J99" s="62"/>
      <c r="K99" s="62"/>
      <c r="L99" s="62"/>
      <c r="M99" s="62"/>
      <c r="N99" s="62"/>
      <c r="O99" s="62"/>
      <c r="P99" s="62"/>
      <c r="Q99" s="62"/>
      <c r="R99" s="62"/>
      <c r="S99" s="258"/>
      <c r="T99" s="248" t="str">
        <f t="shared" si="13"/>
        <v/>
      </c>
      <c r="U99" s="249" t="str">
        <f t="shared" si="14"/>
        <v/>
      </c>
      <c r="V99" s="294" t="str">
        <f t="shared" si="10"/>
        <v/>
      </c>
      <c r="W99" s="294" t="str">
        <f>IF(((E99="")+(F99="")),"",IF(VLOOKUP(F99,Mannschaften!$A$1:$B$54,2,FALSE)&lt;&gt;E99,"Reiter Mannschaften füllen",""))</f>
        <v/>
      </c>
      <c r="X99" s="248" t="str">
        <f>IF(ISBLANK(C99),"",IF((U99&gt;(LOOKUP(E99,WKNrListe,Übersicht!$O$7:$O$46)))+(U99&lt;(LOOKUP(E99,WKNrListe,Übersicht!$P$7:$P$46))),"JG falsch",""))</f>
        <v/>
      </c>
      <c r="Y99" s="255" t="str">
        <f>IF((A99="")*(B99=""),"",IF(ISERROR(MATCH(E99,WKNrListe,0)),"WK falsch",LOOKUP(E99,WKNrListe,Übersicht!$B$7:$B$46)))</f>
        <v/>
      </c>
      <c r="Z99" s="269" t="str">
        <f>IF(((AJ99=0)*(AH99&lt;&gt;"")*(AK99="-"))+((AJ99&lt;&gt;0)*(AH99&lt;&gt;"")*(AK99="-")),IF(AG99="X",Übersicht!$C$70,Übersicht!$C$69),"-")</f>
        <v>-</v>
      </c>
      <c r="AA99" s="252" t="str">
        <f>IF((($A99="")*($B99=""))+((MID($Y99,1,4)&lt;&gt;"Wahl")*(Deckblatt!$C$14='WK-Vorlagen'!$C$82))+(Deckblatt!$C$14&lt;&gt;'WK-Vorlagen'!$C$82),"",IF(ISERROR(MATCH(VALUE(MID(G99,1,2)),Schwierigkeitsstufen!$G$7:$G$19,0)),"Gerät falsch",LOOKUP(VALUE(MID(G99,1,2)),Schwierigkeitsstufen!$G$7:$G$19,Schwierigkeitsstufen!$H$7:$H$19)))</f>
        <v/>
      </c>
      <c r="AB99" s="250" t="str">
        <f>IF((($A99="")*($B99=""))+((MID($Y99,1,4)&lt;&gt;"Wahl")*(Deckblatt!$C$14='WK-Vorlagen'!$C$82))+(Deckblatt!$C$14&lt;&gt;'WK-Vorlagen'!$C$82),"",IF(ISERROR(MATCH(VALUE(MID(H99,1,2)),Schwierigkeitsstufen!$G$7:$G$19,0)),"Gerät falsch",LOOKUP(VALUE(MID(H99,1,2)),Schwierigkeitsstufen!$G$7:$G$19,Schwierigkeitsstufen!$H$7:$H$19)))</f>
        <v/>
      </c>
      <c r="AC99" s="250" t="str">
        <f>IF((($A99="")*($B99=""))+((MID($Y99,1,4)&lt;&gt;"Wahl")*(Deckblatt!$C$14='WK-Vorlagen'!$C$82))+(Deckblatt!$C$14&lt;&gt;'WK-Vorlagen'!$C$82),"",IF(ISERROR(MATCH(VALUE(MID(I99,1,2)),Schwierigkeitsstufen!$G$7:$G$19,0)),"Gerät falsch",LOOKUP(VALUE(MID(I99,1,2)),Schwierigkeitsstufen!$G$7:$G$19,Schwierigkeitsstufen!$H$7:$H$19)))</f>
        <v/>
      </c>
      <c r="AD99" s="251" t="str">
        <f>IF((($A99="")*($B99=""))+((MID($Y99,1,4)&lt;&gt;"Wahl")*(Deckblatt!$C$14='WK-Vorlagen'!$C$82))+(Deckblatt!$C$14&lt;&gt;'WK-Vorlagen'!$C$82),"",IF(ISERROR(MATCH(VALUE(MID(J99,1,2)),Schwierigkeitsstufen!$G$7:$G$19,0)),"Gerät falsch",LOOKUP(VALUE(MID(J99,1,2)),Schwierigkeitsstufen!$G$7:$G$19,Schwierigkeitsstufen!$H$7:$H$19)))</f>
        <v/>
      </c>
      <c r="AE99" s="211"/>
      <c r="AG99" s="221" t="str">
        <f t="shared" si="9"/>
        <v/>
      </c>
      <c r="AH99" s="222" t="str">
        <f t="shared" si="11"/>
        <v/>
      </c>
      <c r="AI99" s="220">
        <f t="shared" si="16"/>
        <v>4</v>
      </c>
      <c r="AJ99" s="222">
        <f t="shared" si="12"/>
        <v>0</v>
      </c>
      <c r="AK99" s="299" t="str">
        <f>IF(ISERROR(LOOKUP(E99,WKNrListe,Übersicht!$R$7:$R$46)),"-",LOOKUP(E99,WKNrListe,Übersicht!$R$7:$R$46))</f>
        <v>-</v>
      </c>
      <c r="AL99" s="299" t="str">
        <f t="shared" si="15"/>
        <v>-</v>
      </c>
      <c r="AM99" s="303"/>
      <c r="AN99" s="174" t="str">
        <f t="shared" si="8"/>
        <v>Leer</v>
      </c>
    </row>
    <row r="100" spans="1:40" s="174" customFormat="1" ht="15" customHeight="1">
      <c r="A100" s="63"/>
      <c r="B100" s="63"/>
      <c r="C100" s="84"/>
      <c r="D100" s="85"/>
      <c r="E100" s="62"/>
      <c r="F100" s="62"/>
      <c r="G100" s="62"/>
      <c r="H100" s="62"/>
      <c r="I100" s="62"/>
      <c r="J100" s="62"/>
      <c r="K100" s="62"/>
      <c r="L100" s="62"/>
      <c r="M100" s="62"/>
      <c r="N100" s="62"/>
      <c r="O100" s="62"/>
      <c r="P100" s="62"/>
      <c r="Q100" s="62"/>
      <c r="R100" s="62"/>
      <c r="S100" s="258"/>
      <c r="T100" s="248" t="str">
        <f t="shared" si="13"/>
        <v/>
      </c>
      <c r="U100" s="249" t="str">
        <f t="shared" si="14"/>
        <v/>
      </c>
      <c r="V100" s="294" t="str">
        <f t="shared" si="10"/>
        <v/>
      </c>
      <c r="W100" s="294" t="str">
        <f>IF(((E100="")+(F100="")),"",IF(VLOOKUP(F100,Mannschaften!$A$1:$B$54,2,FALSE)&lt;&gt;E100,"Reiter Mannschaften füllen",""))</f>
        <v/>
      </c>
      <c r="X100" s="248" t="str">
        <f>IF(ISBLANK(C100),"",IF((U100&gt;(LOOKUP(E100,WKNrListe,Übersicht!$O$7:$O$46)))+(U100&lt;(LOOKUP(E100,WKNrListe,Übersicht!$P$7:$P$46))),"JG falsch",""))</f>
        <v/>
      </c>
      <c r="Y100" s="255" t="str">
        <f>IF((A100="")*(B100=""),"",IF(ISERROR(MATCH(E100,WKNrListe,0)),"WK falsch",LOOKUP(E100,WKNrListe,Übersicht!$B$7:$B$46)))</f>
        <v/>
      </c>
      <c r="Z100" s="269" t="str">
        <f>IF(((AJ100=0)*(AH100&lt;&gt;"")*(AK100="-"))+((AJ100&lt;&gt;0)*(AH100&lt;&gt;"")*(AK100="-")),IF(AG100="X",Übersicht!$C$70,Übersicht!$C$69),"-")</f>
        <v>-</v>
      </c>
      <c r="AA100" s="252" t="str">
        <f>IF((($A100="")*($B100=""))+((MID($Y100,1,4)&lt;&gt;"Wahl")*(Deckblatt!$C$14='WK-Vorlagen'!$C$82))+(Deckblatt!$C$14&lt;&gt;'WK-Vorlagen'!$C$82),"",IF(ISERROR(MATCH(VALUE(MID(G100,1,2)),Schwierigkeitsstufen!$G$7:$G$19,0)),"Gerät falsch",LOOKUP(VALUE(MID(G100,1,2)),Schwierigkeitsstufen!$G$7:$G$19,Schwierigkeitsstufen!$H$7:$H$19)))</f>
        <v/>
      </c>
      <c r="AB100" s="250" t="str">
        <f>IF((($A100="")*($B100=""))+((MID($Y100,1,4)&lt;&gt;"Wahl")*(Deckblatt!$C$14='WK-Vorlagen'!$C$82))+(Deckblatt!$C$14&lt;&gt;'WK-Vorlagen'!$C$82),"",IF(ISERROR(MATCH(VALUE(MID(H100,1,2)),Schwierigkeitsstufen!$G$7:$G$19,0)),"Gerät falsch",LOOKUP(VALUE(MID(H100,1,2)),Schwierigkeitsstufen!$G$7:$G$19,Schwierigkeitsstufen!$H$7:$H$19)))</f>
        <v/>
      </c>
      <c r="AC100" s="250" t="str">
        <f>IF((($A100="")*($B100=""))+((MID($Y100,1,4)&lt;&gt;"Wahl")*(Deckblatt!$C$14='WK-Vorlagen'!$C$82))+(Deckblatt!$C$14&lt;&gt;'WK-Vorlagen'!$C$82),"",IF(ISERROR(MATCH(VALUE(MID(I100,1,2)),Schwierigkeitsstufen!$G$7:$G$19,0)),"Gerät falsch",LOOKUP(VALUE(MID(I100,1,2)),Schwierigkeitsstufen!$G$7:$G$19,Schwierigkeitsstufen!$H$7:$H$19)))</f>
        <v/>
      </c>
      <c r="AD100" s="251" t="str">
        <f>IF((($A100="")*($B100=""))+((MID($Y100,1,4)&lt;&gt;"Wahl")*(Deckblatt!$C$14='WK-Vorlagen'!$C$82))+(Deckblatt!$C$14&lt;&gt;'WK-Vorlagen'!$C$82),"",IF(ISERROR(MATCH(VALUE(MID(J100,1,2)),Schwierigkeitsstufen!$G$7:$G$19,0)),"Gerät falsch",LOOKUP(VALUE(MID(J100,1,2)),Schwierigkeitsstufen!$G$7:$G$19,Schwierigkeitsstufen!$H$7:$H$19)))</f>
        <v/>
      </c>
      <c r="AE100" s="211"/>
      <c r="AG100" s="221" t="str">
        <f t="shared" si="9"/>
        <v/>
      </c>
      <c r="AH100" s="222" t="str">
        <f t="shared" si="11"/>
        <v/>
      </c>
      <c r="AI100" s="220">
        <f t="shared" si="16"/>
        <v>4</v>
      </c>
      <c r="AJ100" s="222">
        <f t="shared" si="12"/>
        <v>0</v>
      </c>
      <c r="AK100" s="299" t="str">
        <f>IF(ISERROR(LOOKUP(E100,WKNrListe,Übersicht!$R$7:$R$46)),"-",LOOKUP(E100,WKNrListe,Übersicht!$R$7:$R$46))</f>
        <v>-</v>
      </c>
      <c r="AL100" s="299" t="str">
        <f t="shared" si="15"/>
        <v>-</v>
      </c>
      <c r="AM100" s="303"/>
      <c r="AN100" s="174" t="str">
        <f t="shared" si="8"/>
        <v>Leer</v>
      </c>
    </row>
    <row r="101" spans="1:40" s="174" customFormat="1" ht="15" customHeight="1">
      <c r="A101" s="63"/>
      <c r="B101" s="63"/>
      <c r="C101" s="84"/>
      <c r="D101" s="85"/>
      <c r="E101" s="62"/>
      <c r="F101" s="62"/>
      <c r="G101" s="62"/>
      <c r="H101" s="62"/>
      <c r="I101" s="62"/>
      <c r="J101" s="62"/>
      <c r="K101" s="62"/>
      <c r="L101" s="62"/>
      <c r="M101" s="62"/>
      <c r="N101" s="62"/>
      <c r="O101" s="62"/>
      <c r="P101" s="62"/>
      <c r="Q101" s="62"/>
      <c r="R101" s="62"/>
      <c r="S101" s="258"/>
      <c r="T101" s="248" t="str">
        <f t="shared" si="13"/>
        <v/>
      </c>
      <c r="U101" s="249" t="str">
        <f t="shared" si="14"/>
        <v/>
      </c>
      <c r="V101" s="294" t="str">
        <f t="shared" si="10"/>
        <v/>
      </c>
      <c r="W101" s="294" t="str">
        <f>IF(((E101="")+(F101="")),"",IF(VLOOKUP(F101,Mannschaften!$A$1:$B$54,2,FALSE)&lt;&gt;E101,"Reiter Mannschaften füllen",""))</f>
        <v/>
      </c>
      <c r="X101" s="248" t="str">
        <f>IF(ISBLANK(C101),"",IF((U101&gt;(LOOKUP(E101,WKNrListe,Übersicht!$O$7:$O$46)))+(U101&lt;(LOOKUP(E101,WKNrListe,Übersicht!$P$7:$P$46))),"JG falsch",""))</f>
        <v/>
      </c>
      <c r="Y101" s="255" t="str">
        <f>IF((A101="")*(B101=""),"",IF(ISERROR(MATCH(E101,WKNrListe,0)),"WK falsch",LOOKUP(E101,WKNrListe,Übersicht!$B$7:$B$46)))</f>
        <v/>
      </c>
      <c r="Z101" s="269" t="str">
        <f>IF(((AJ101=0)*(AH101&lt;&gt;"")*(AK101="-"))+((AJ101&lt;&gt;0)*(AH101&lt;&gt;"")*(AK101="-")),IF(AG101="X",Übersicht!$C$70,Übersicht!$C$69),"-")</f>
        <v>-</v>
      </c>
      <c r="AA101" s="252" t="str">
        <f>IF((($A101="")*($B101=""))+((MID($Y101,1,4)&lt;&gt;"Wahl")*(Deckblatt!$C$14='WK-Vorlagen'!$C$82))+(Deckblatt!$C$14&lt;&gt;'WK-Vorlagen'!$C$82),"",IF(ISERROR(MATCH(VALUE(MID(G101,1,2)),Schwierigkeitsstufen!$G$7:$G$19,0)),"Gerät falsch",LOOKUP(VALUE(MID(G101,1,2)),Schwierigkeitsstufen!$G$7:$G$19,Schwierigkeitsstufen!$H$7:$H$19)))</f>
        <v/>
      </c>
      <c r="AB101" s="250" t="str">
        <f>IF((($A101="")*($B101=""))+((MID($Y101,1,4)&lt;&gt;"Wahl")*(Deckblatt!$C$14='WK-Vorlagen'!$C$82))+(Deckblatt!$C$14&lt;&gt;'WK-Vorlagen'!$C$82),"",IF(ISERROR(MATCH(VALUE(MID(H101,1,2)),Schwierigkeitsstufen!$G$7:$G$19,0)),"Gerät falsch",LOOKUP(VALUE(MID(H101,1,2)),Schwierigkeitsstufen!$G$7:$G$19,Schwierigkeitsstufen!$H$7:$H$19)))</f>
        <v/>
      </c>
      <c r="AC101" s="250" t="str">
        <f>IF((($A101="")*($B101=""))+((MID($Y101,1,4)&lt;&gt;"Wahl")*(Deckblatt!$C$14='WK-Vorlagen'!$C$82))+(Deckblatt!$C$14&lt;&gt;'WK-Vorlagen'!$C$82),"",IF(ISERROR(MATCH(VALUE(MID(I101,1,2)),Schwierigkeitsstufen!$G$7:$G$19,0)),"Gerät falsch",LOOKUP(VALUE(MID(I101,1,2)),Schwierigkeitsstufen!$G$7:$G$19,Schwierigkeitsstufen!$H$7:$H$19)))</f>
        <v/>
      </c>
      <c r="AD101" s="251" t="str">
        <f>IF((($A101="")*($B101=""))+((MID($Y101,1,4)&lt;&gt;"Wahl")*(Deckblatt!$C$14='WK-Vorlagen'!$C$82))+(Deckblatt!$C$14&lt;&gt;'WK-Vorlagen'!$C$82),"",IF(ISERROR(MATCH(VALUE(MID(J101,1,2)),Schwierigkeitsstufen!$G$7:$G$19,0)),"Gerät falsch",LOOKUP(VALUE(MID(J101,1,2)),Schwierigkeitsstufen!$G$7:$G$19,Schwierigkeitsstufen!$H$7:$H$19)))</f>
        <v/>
      </c>
      <c r="AE101" s="211"/>
      <c r="AG101" s="221" t="str">
        <f t="shared" si="9"/>
        <v/>
      </c>
      <c r="AH101" s="222" t="str">
        <f t="shared" si="11"/>
        <v/>
      </c>
      <c r="AI101" s="220">
        <f t="shared" si="16"/>
        <v>4</v>
      </c>
      <c r="AJ101" s="222">
        <f t="shared" si="12"/>
        <v>0</v>
      </c>
      <c r="AK101" s="299" t="str">
        <f>IF(ISERROR(LOOKUP(E101,WKNrListe,Übersicht!$R$7:$R$46)),"-",LOOKUP(E101,WKNrListe,Übersicht!$R$7:$R$46))</f>
        <v>-</v>
      </c>
      <c r="AL101" s="299" t="str">
        <f t="shared" si="15"/>
        <v>-</v>
      </c>
      <c r="AM101" s="303"/>
      <c r="AN101" s="174" t="str">
        <f t="shared" si="8"/>
        <v>Leer</v>
      </c>
    </row>
    <row r="102" spans="1:40" s="174" customFormat="1" ht="15" customHeight="1">
      <c r="A102" s="63"/>
      <c r="B102" s="63"/>
      <c r="C102" s="84"/>
      <c r="D102" s="85"/>
      <c r="E102" s="62"/>
      <c r="F102" s="62"/>
      <c r="G102" s="62"/>
      <c r="H102" s="62"/>
      <c r="I102" s="62"/>
      <c r="J102" s="62"/>
      <c r="K102" s="62"/>
      <c r="L102" s="62"/>
      <c r="M102" s="62"/>
      <c r="N102" s="62"/>
      <c r="O102" s="62"/>
      <c r="P102" s="62"/>
      <c r="Q102" s="62"/>
      <c r="R102" s="62"/>
      <c r="S102" s="258"/>
      <c r="T102" s="248" t="str">
        <f t="shared" si="13"/>
        <v/>
      </c>
      <c r="U102" s="249" t="str">
        <f t="shared" si="14"/>
        <v/>
      </c>
      <c r="V102" s="294" t="str">
        <f t="shared" si="10"/>
        <v/>
      </c>
      <c r="W102" s="294" t="str">
        <f>IF(((E102="")+(F102="")),"",IF(VLOOKUP(F102,Mannschaften!$A$1:$B$54,2,FALSE)&lt;&gt;E102,"Reiter Mannschaften füllen",""))</f>
        <v/>
      </c>
      <c r="X102" s="248" t="str">
        <f>IF(ISBLANK(C102),"",IF((U102&gt;(LOOKUP(E102,WKNrListe,Übersicht!$O$7:$O$46)))+(U102&lt;(LOOKUP(E102,WKNrListe,Übersicht!$P$7:$P$46))),"JG falsch",""))</f>
        <v/>
      </c>
      <c r="Y102" s="255" t="str">
        <f>IF((A102="")*(B102=""),"",IF(ISERROR(MATCH(E102,WKNrListe,0)),"WK falsch",LOOKUP(E102,WKNrListe,Übersicht!$B$7:$B$46)))</f>
        <v/>
      </c>
      <c r="Z102" s="269" t="str">
        <f>IF(((AJ102=0)*(AH102&lt;&gt;"")*(AK102="-"))+((AJ102&lt;&gt;0)*(AH102&lt;&gt;"")*(AK102="-")),IF(AG102="X",Übersicht!$C$70,Übersicht!$C$69),"-")</f>
        <v>-</v>
      </c>
      <c r="AA102" s="252" t="str">
        <f>IF((($A102="")*($B102=""))+((MID($Y102,1,4)&lt;&gt;"Wahl")*(Deckblatt!$C$14='WK-Vorlagen'!$C$82))+(Deckblatt!$C$14&lt;&gt;'WK-Vorlagen'!$C$82),"",IF(ISERROR(MATCH(VALUE(MID(G102,1,2)),Schwierigkeitsstufen!$G$7:$G$19,0)),"Gerät falsch",LOOKUP(VALUE(MID(G102,1,2)),Schwierigkeitsstufen!$G$7:$G$19,Schwierigkeitsstufen!$H$7:$H$19)))</f>
        <v/>
      </c>
      <c r="AB102" s="250" t="str">
        <f>IF((($A102="")*($B102=""))+((MID($Y102,1,4)&lt;&gt;"Wahl")*(Deckblatt!$C$14='WK-Vorlagen'!$C$82))+(Deckblatt!$C$14&lt;&gt;'WK-Vorlagen'!$C$82),"",IF(ISERROR(MATCH(VALUE(MID(H102,1,2)),Schwierigkeitsstufen!$G$7:$G$19,0)),"Gerät falsch",LOOKUP(VALUE(MID(H102,1,2)),Schwierigkeitsstufen!$G$7:$G$19,Schwierigkeitsstufen!$H$7:$H$19)))</f>
        <v/>
      </c>
      <c r="AC102" s="250" t="str">
        <f>IF((($A102="")*($B102=""))+((MID($Y102,1,4)&lt;&gt;"Wahl")*(Deckblatt!$C$14='WK-Vorlagen'!$C$82))+(Deckblatt!$C$14&lt;&gt;'WK-Vorlagen'!$C$82),"",IF(ISERROR(MATCH(VALUE(MID(I102,1,2)),Schwierigkeitsstufen!$G$7:$G$19,0)),"Gerät falsch",LOOKUP(VALUE(MID(I102,1,2)),Schwierigkeitsstufen!$G$7:$G$19,Schwierigkeitsstufen!$H$7:$H$19)))</f>
        <v/>
      </c>
      <c r="AD102" s="251" t="str">
        <f>IF((($A102="")*($B102=""))+((MID($Y102,1,4)&lt;&gt;"Wahl")*(Deckblatt!$C$14='WK-Vorlagen'!$C$82))+(Deckblatt!$C$14&lt;&gt;'WK-Vorlagen'!$C$82),"",IF(ISERROR(MATCH(VALUE(MID(J102,1,2)),Schwierigkeitsstufen!$G$7:$G$19,0)),"Gerät falsch",LOOKUP(VALUE(MID(J102,1,2)),Schwierigkeitsstufen!$G$7:$G$19,Schwierigkeitsstufen!$H$7:$H$19)))</f>
        <v/>
      </c>
      <c r="AE102" s="211"/>
      <c r="AG102" s="221" t="str">
        <f t="shared" si="9"/>
        <v/>
      </c>
      <c r="AH102" s="222" t="str">
        <f t="shared" si="11"/>
        <v/>
      </c>
      <c r="AI102" s="220">
        <f t="shared" si="16"/>
        <v>4</v>
      </c>
      <c r="AJ102" s="222">
        <f t="shared" si="12"/>
        <v>0</v>
      </c>
      <c r="AK102" s="299" t="str">
        <f>IF(ISERROR(LOOKUP(E102,WKNrListe,Übersicht!$R$7:$R$46)),"-",LOOKUP(E102,WKNrListe,Übersicht!$R$7:$R$46))</f>
        <v>-</v>
      </c>
      <c r="AL102" s="299" t="str">
        <f t="shared" si="15"/>
        <v>-</v>
      </c>
      <c r="AM102" s="303"/>
      <c r="AN102" s="174" t="str">
        <f t="shared" si="8"/>
        <v>Leer</v>
      </c>
    </row>
    <row r="103" spans="1:40" s="174" customFormat="1" ht="15" customHeight="1">
      <c r="A103" s="63"/>
      <c r="B103" s="63"/>
      <c r="C103" s="84"/>
      <c r="D103" s="85"/>
      <c r="E103" s="62"/>
      <c r="F103" s="62"/>
      <c r="G103" s="62"/>
      <c r="H103" s="62"/>
      <c r="I103" s="62"/>
      <c r="J103" s="62"/>
      <c r="K103" s="62"/>
      <c r="L103" s="62"/>
      <c r="M103" s="62"/>
      <c r="N103" s="62"/>
      <c r="O103" s="62"/>
      <c r="P103" s="62"/>
      <c r="Q103" s="62"/>
      <c r="R103" s="62"/>
      <c r="S103" s="258"/>
      <c r="T103" s="248" t="str">
        <f t="shared" si="13"/>
        <v/>
      </c>
      <c r="U103" s="249" t="str">
        <f t="shared" si="14"/>
        <v/>
      </c>
      <c r="V103" s="294" t="str">
        <f t="shared" si="10"/>
        <v/>
      </c>
      <c r="W103" s="294" t="str">
        <f>IF(((E103="")+(F103="")),"",IF(VLOOKUP(F103,Mannschaften!$A$1:$B$54,2,FALSE)&lt;&gt;E103,"Reiter Mannschaften füllen",""))</f>
        <v/>
      </c>
      <c r="X103" s="248" t="str">
        <f>IF(ISBLANK(C103),"",IF((U103&gt;(LOOKUP(E103,WKNrListe,Übersicht!$O$7:$O$46)))+(U103&lt;(LOOKUP(E103,WKNrListe,Übersicht!$P$7:$P$46))),"JG falsch",""))</f>
        <v/>
      </c>
      <c r="Y103" s="255" t="str">
        <f>IF((A103="")*(B103=""),"",IF(ISERROR(MATCH(E103,WKNrListe,0)),"WK falsch",LOOKUP(E103,WKNrListe,Übersicht!$B$7:$B$46)))</f>
        <v/>
      </c>
      <c r="Z103" s="269" t="str">
        <f>IF(((AJ103=0)*(AH103&lt;&gt;"")*(AK103="-"))+((AJ103&lt;&gt;0)*(AH103&lt;&gt;"")*(AK103="-")),IF(AG103="X",Übersicht!$C$70,Übersicht!$C$69),"-")</f>
        <v>-</v>
      </c>
      <c r="AA103" s="252" t="str">
        <f>IF((($A103="")*($B103=""))+((MID($Y103,1,4)&lt;&gt;"Wahl")*(Deckblatt!$C$14='WK-Vorlagen'!$C$82))+(Deckblatt!$C$14&lt;&gt;'WK-Vorlagen'!$C$82),"",IF(ISERROR(MATCH(VALUE(MID(G103,1,2)),Schwierigkeitsstufen!$G$7:$G$19,0)),"Gerät falsch",LOOKUP(VALUE(MID(G103,1,2)),Schwierigkeitsstufen!$G$7:$G$19,Schwierigkeitsstufen!$H$7:$H$19)))</f>
        <v/>
      </c>
      <c r="AB103" s="250" t="str">
        <f>IF((($A103="")*($B103=""))+((MID($Y103,1,4)&lt;&gt;"Wahl")*(Deckblatt!$C$14='WK-Vorlagen'!$C$82))+(Deckblatt!$C$14&lt;&gt;'WK-Vorlagen'!$C$82),"",IF(ISERROR(MATCH(VALUE(MID(H103,1,2)),Schwierigkeitsstufen!$G$7:$G$19,0)),"Gerät falsch",LOOKUP(VALUE(MID(H103,1,2)),Schwierigkeitsstufen!$G$7:$G$19,Schwierigkeitsstufen!$H$7:$H$19)))</f>
        <v/>
      </c>
      <c r="AC103" s="250" t="str">
        <f>IF((($A103="")*($B103=""))+((MID($Y103,1,4)&lt;&gt;"Wahl")*(Deckblatt!$C$14='WK-Vorlagen'!$C$82))+(Deckblatt!$C$14&lt;&gt;'WK-Vorlagen'!$C$82),"",IF(ISERROR(MATCH(VALUE(MID(I103,1,2)),Schwierigkeitsstufen!$G$7:$G$19,0)),"Gerät falsch",LOOKUP(VALUE(MID(I103,1,2)),Schwierigkeitsstufen!$G$7:$G$19,Schwierigkeitsstufen!$H$7:$H$19)))</f>
        <v/>
      </c>
      <c r="AD103" s="251" t="str">
        <f>IF((($A103="")*($B103=""))+((MID($Y103,1,4)&lt;&gt;"Wahl")*(Deckblatt!$C$14='WK-Vorlagen'!$C$82))+(Deckblatt!$C$14&lt;&gt;'WK-Vorlagen'!$C$82),"",IF(ISERROR(MATCH(VALUE(MID(J103,1,2)),Schwierigkeitsstufen!$G$7:$G$19,0)),"Gerät falsch",LOOKUP(VALUE(MID(J103,1,2)),Schwierigkeitsstufen!$G$7:$G$19,Schwierigkeitsstufen!$H$7:$H$19)))</f>
        <v/>
      </c>
      <c r="AE103" s="211"/>
      <c r="AG103" s="221" t="str">
        <f t="shared" si="9"/>
        <v/>
      </c>
      <c r="AH103" s="222" t="str">
        <f t="shared" si="11"/>
        <v/>
      </c>
      <c r="AI103" s="220">
        <f t="shared" si="16"/>
        <v>4</v>
      </c>
      <c r="AJ103" s="222">
        <f t="shared" si="12"/>
        <v>0</v>
      </c>
      <c r="AK103" s="299" t="str">
        <f>IF(ISERROR(LOOKUP(E103,WKNrListe,Übersicht!$R$7:$R$46)),"-",LOOKUP(E103,WKNrListe,Übersicht!$R$7:$R$46))</f>
        <v>-</v>
      </c>
      <c r="AL103" s="299" t="str">
        <f t="shared" si="15"/>
        <v>-</v>
      </c>
      <c r="AM103" s="303"/>
      <c r="AN103" s="174" t="str">
        <f t="shared" si="8"/>
        <v>Leer</v>
      </c>
    </row>
    <row r="104" spans="1:40" s="174" customFormat="1" ht="15" customHeight="1">
      <c r="A104" s="63"/>
      <c r="B104" s="63"/>
      <c r="C104" s="84"/>
      <c r="D104" s="85"/>
      <c r="E104" s="62"/>
      <c r="F104" s="62"/>
      <c r="G104" s="62"/>
      <c r="H104" s="62"/>
      <c r="I104" s="62"/>
      <c r="J104" s="62"/>
      <c r="K104" s="62"/>
      <c r="L104" s="62"/>
      <c r="M104" s="62"/>
      <c r="N104" s="62"/>
      <c r="O104" s="62"/>
      <c r="P104" s="62"/>
      <c r="Q104" s="62"/>
      <c r="R104" s="62"/>
      <c r="S104" s="258"/>
      <c r="T104" s="248" t="str">
        <f t="shared" si="13"/>
        <v/>
      </c>
      <c r="U104" s="249" t="str">
        <f t="shared" si="14"/>
        <v/>
      </c>
      <c r="V104" s="294" t="str">
        <f t="shared" si="10"/>
        <v/>
      </c>
      <c r="W104" s="294" t="str">
        <f>IF(((E104="")+(F104="")),"",IF(VLOOKUP(F104,Mannschaften!$A$1:$B$54,2,FALSE)&lt;&gt;E104,"Reiter Mannschaften füllen",""))</f>
        <v/>
      </c>
      <c r="X104" s="248" t="str">
        <f>IF(ISBLANK(C104),"",IF((U104&gt;(LOOKUP(E104,WKNrListe,Übersicht!$O$7:$O$46)))+(U104&lt;(LOOKUP(E104,WKNrListe,Übersicht!$P$7:$P$46))),"JG falsch",""))</f>
        <v/>
      </c>
      <c r="Y104" s="255" t="str">
        <f>IF((A104="")*(B104=""),"",IF(ISERROR(MATCH(E104,WKNrListe,0)),"WK falsch",LOOKUP(E104,WKNrListe,Übersicht!$B$7:$B$46)))</f>
        <v/>
      </c>
      <c r="Z104" s="269" t="str">
        <f>IF(((AJ104=0)*(AH104&lt;&gt;"")*(AK104="-"))+((AJ104&lt;&gt;0)*(AH104&lt;&gt;"")*(AK104="-")),IF(AG104="X",Übersicht!$C$70,Übersicht!$C$69),"-")</f>
        <v>-</v>
      </c>
      <c r="AA104" s="252" t="str">
        <f>IF((($A104="")*($B104=""))+((MID($Y104,1,4)&lt;&gt;"Wahl")*(Deckblatt!$C$14='WK-Vorlagen'!$C$82))+(Deckblatt!$C$14&lt;&gt;'WK-Vorlagen'!$C$82),"",IF(ISERROR(MATCH(VALUE(MID(G104,1,2)),Schwierigkeitsstufen!$G$7:$G$19,0)),"Gerät falsch",LOOKUP(VALUE(MID(G104,1,2)),Schwierigkeitsstufen!$G$7:$G$19,Schwierigkeitsstufen!$H$7:$H$19)))</f>
        <v/>
      </c>
      <c r="AB104" s="250" t="str">
        <f>IF((($A104="")*($B104=""))+((MID($Y104,1,4)&lt;&gt;"Wahl")*(Deckblatt!$C$14='WK-Vorlagen'!$C$82))+(Deckblatt!$C$14&lt;&gt;'WK-Vorlagen'!$C$82),"",IF(ISERROR(MATCH(VALUE(MID(H104,1,2)),Schwierigkeitsstufen!$G$7:$G$19,0)),"Gerät falsch",LOOKUP(VALUE(MID(H104,1,2)),Schwierigkeitsstufen!$G$7:$G$19,Schwierigkeitsstufen!$H$7:$H$19)))</f>
        <v/>
      </c>
      <c r="AC104" s="250" t="str">
        <f>IF((($A104="")*($B104=""))+((MID($Y104,1,4)&lt;&gt;"Wahl")*(Deckblatt!$C$14='WK-Vorlagen'!$C$82))+(Deckblatt!$C$14&lt;&gt;'WK-Vorlagen'!$C$82),"",IF(ISERROR(MATCH(VALUE(MID(I104,1,2)),Schwierigkeitsstufen!$G$7:$G$19,0)),"Gerät falsch",LOOKUP(VALUE(MID(I104,1,2)),Schwierigkeitsstufen!$G$7:$G$19,Schwierigkeitsstufen!$H$7:$H$19)))</f>
        <v/>
      </c>
      <c r="AD104" s="251" t="str">
        <f>IF((($A104="")*($B104=""))+((MID($Y104,1,4)&lt;&gt;"Wahl")*(Deckblatt!$C$14='WK-Vorlagen'!$C$82))+(Deckblatt!$C$14&lt;&gt;'WK-Vorlagen'!$C$82),"",IF(ISERROR(MATCH(VALUE(MID(J104,1,2)),Schwierigkeitsstufen!$G$7:$G$19,0)),"Gerät falsch",LOOKUP(VALUE(MID(J104,1,2)),Schwierigkeitsstufen!$G$7:$G$19,Schwierigkeitsstufen!$H$7:$H$19)))</f>
        <v/>
      </c>
      <c r="AE104" s="211"/>
      <c r="AG104" s="221" t="str">
        <f t="shared" si="9"/>
        <v/>
      </c>
      <c r="AH104" s="222" t="str">
        <f t="shared" si="11"/>
        <v/>
      </c>
      <c r="AI104" s="220">
        <f t="shared" si="16"/>
        <v>4</v>
      </c>
      <c r="AJ104" s="222">
        <f t="shared" si="12"/>
        <v>0</v>
      </c>
      <c r="AK104" s="299" t="str">
        <f>IF(ISERROR(LOOKUP(E104,WKNrListe,Übersicht!$R$7:$R$46)),"-",LOOKUP(E104,WKNrListe,Übersicht!$R$7:$R$46))</f>
        <v>-</v>
      </c>
      <c r="AL104" s="299" t="str">
        <f t="shared" si="15"/>
        <v>-</v>
      </c>
      <c r="AM104" s="303"/>
      <c r="AN104" s="174" t="str">
        <f t="shared" si="8"/>
        <v>Leer</v>
      </c>
    </row>
    <row r="105" spans="1:40" s="174" customFormat="1" ht="15" customHeight="1">
      <c r="A105" s="63"/>
      <c r="B105" s="63"/>
      <c r="C105" s="84"/>
      <c r="D105" s="85"/>
      <c r="E105" s="62"/>
      <c r="F105" s="62"/>
      <c r="G105" s="62"/>
      <c r="H105" s="62"/>
      <c r="I105" s="62"/>
      <c r="J105" s="62"/>
      <c r="K105" s="62"/>
      <c r="L105" s="62"/>
      <c r="M105" s="62"/>
      <c r="N105" s="62"/>
      <c r="O105" s="62"/>
      <c r="P105" s="62"/>
      <c r="Q105" s="62"/>
      <c r="R105" s="62"/>
      <c r="S105" s="258"/>
      <c r="T105" s="248" t="str">
        <f t="shared" si="13"/>
        <v/>
      </c>
      <c r="U105" s="249" t="str">
        <f t="shared" si="14"/>
        <v/>
      </c>
      <c r="V105" s="294" t="str">
        <f t="shared" si="10"/>
        <v/>
      </c>
      <c r="W105" s="294" t="str">
        <f>IF(((E105="")+(F105="")),"",IF(VLOOKUP(F105,Mannschaften!$A$1:$B$54,2,FALSE)&lt;&gt;E105,"Reiter Mannschaften füllen",""))</f>
        <v/>
      </c>
      <c r="X105" s="248" t="str">
        <f>IF(ISBLANK(C105),"",IF((U105&gt;(LOOKUP(E105,WKNrListe,Übersicht!$O$7:$O$46)))+(U105&lt;(LOOKUP(E105,WKNrListe,Übersicht!$P$7:$P$46))),"JG falsch",""))</f>
        <v/>
      </c>
      <c r="Y105" s="255" t="str">
        <f>IF((A105="")*(B105=""),"",IF(ISERROR(MATCH(E105,WKNrListe,0)),"WK falsch",LOOKUP(E105,WKNrListe,Übersicht!$B$7:$B$46)))</f>
        <v/>
      </c>
      <c r="Z105" s="269" t="str">
        <f>IF(((AJ105=0)*(AH105&lt;&gt;"")*(AK105="-"))+((AJ105&lt;&gt;0)*(AH105&lt;&gt;"")*(AK105="-")),IF(AG105="X",Übersicht!$C$70,Übersicht!$C$69),"-")</f>
        <v>-</v>
      </c>
      <c r="AA105" s="252" t="str">
        <f>IF((($A105="")*($B105=""))+((MID($Y105,1,4)&lt;&gt;"Wahl")*(Deckblatt!$C$14='WK-Vorlagen'!$C$82))+(Deckblatt!$C$14&lt;&gt;'WK-Vorlagen'!$C$82),"",IF(ISERROR(MATCH(VALUE(MID(G105,1,2)),Schwierigkeitsstufen!$G$7:$G$19,0)),"Gerät falsch",LOOKUP(VALUE(MID(G105,1,2)),Schwierigkeitsstufen!$G$7:$G$19,Schwierigkeitsstufen!$H$7:$H$19)))</f>
        <v/>
      </c>
      <c r="AB105" s="250" t="str">
        <f>IF((($A105="")*($B105=""))+((MID($Y105,1,4)&lt;&gt;"Wahl")*(Deckblatt!$C$14='WK-Vorlagen'!$C$82))+(Deckblatt!$C$14&lt;&gt;'WK-Vorlagen'!$C$82),"",IF(ISERROR(MATCH(VALUE(MID(H105,1,2)),Schwierigkeitsstufen!$G$7:$G$19,0)),"Gerät falsch",LOOKUP(VALUE(MID(H105,1,2)),Schwierigkeitsstufen!$G$7:$G$19,Schwierigkeitsstufen!$H$7:$H$19)))</f>
        <v/>
      </c>
      <c r="AC105" s="250" t="str">
        <f>IF((($A105="")*($B105=""))+((MID($Y105,1,4)&lt;&gt;"Wahl")*(Deckblatt!$C$14='WK-Vorlagen'!$C$82))+(Deckblatt!$C$14&lt;&gt;'WK-Vorlagen'!$C$82),"",IF(ISERROR(MATCH(VALUE(MID(I105,1,2)),Schwierigkeitsstufen!$G$7:$G$19,0)),"Gerät falsch",LOOKUP(VALUE(MID(I105,1,2)),Schwierigkeitsstufen!$G$7:$G$19,Schwierigkeitsstufen!$H$7:$H$19)))</f>
        <v/>
      </c>
      <c r="AD105" s="251" t="str">
        <f>IF((($A105="")*($B105=""))+((MID($Y105,1,4)&lt;&gt;"Wahl")*(Deckblatt!$C$14='WK-Vorlagen'!$C$82))+(Deckblatt!$C$14&lt;&gt;'WK-Vorlagen'!$C$82),"",IF(ISERROR(MATCH(VALUE(MID(J105,1,2)),Schwierigkeitsstufen!$G$7:$G$19,0)),"Gerät falsch",LOOKUP(VALUE(MID(J105,1,2)),Schwierigkeitsstufen!$G$7:$G$19,Schwierigkeitsstufen!$H$7:$H$19)))</f>
        <v/>
      </c>
      <c r="AE105" s="211"/>
      <c r="AG105" s="221" t="str">
        <f t="shared" si="9"/>
        <v/>
      </c>
      <c r="AH105" s="222" t="str">
        <f t="shared" si="11"/>
        <v/>
      </c>
      <c r="AI105" s="220">
        <f t="shared" si="16"/>
        <v>4</v>
      </c>
      <c r="AJ105" s="222">
        <f t="shared" si="12"/>
        <v>0</v>
      </c>
      <c r="AK105" s="299" t="str">
        <f>IF(ISERROR(LOOKUP(E105,WKNrListe,Übersicht!$R$7:$R$46)),"-",LOOKUP(E105,WKNrListe,Übersicht!$R$7:$R$46))</f>
        <v>-</v>
      </c>
      <c r="AL105" s="299" t="str">
        <f t="shared" si="15"/>
        <v>-</v>
      </c>
      <c r="AM105" s="303"/>
      <c r="AN105" s="174" t="str">
        <f t="shared" si="8"/>
        <v>Leer</v>
      </c>
    </row>
    <row r="106" spans="1:40" s="174" customFormat="1" ht="15" customHeight="1">
      <c r="A106" s="63"/>
      <c r="B106" s="63"/>
      <c r="C106" s="84"/>
      <c r="D106" s="85"/>
      <c r="E106" s="62"/>
      <c r="F106" s="62"/>
      <c r="G106" s="62"/>
      <c r="H106" s="62"/>
      <c r="I106" s="62"/>
      <c r="J106" s="62"/>
      <c r="K106" s="62"/>
      <c r="L106" s="62"/>
      <c r="M106" s="62"/>
      <c r="N106" s="62"/>
      <c r="O106" s="62"/>
      <c r="P106" s="62"/>
      <c r="Q106" s="62"/>
      <c r="R106" s="62"/>
      <c r="S106" s="258"/>
      <c r="T106" s="248" t="str">
        <f t="shared" si="13"/>
        <v/>
      </c>
      <c r="U106" s="249" t="str">
        <f t="shared" si="14"/>
        <v/>
      </c>
      <c r="V106" s="294" t="str">
        <f t="shared" si="10"/>
        <v/>
      </c>
      <c r="W106" s="294" t="str">
        <f>IF(((E106="")+(F106="")),"",IF(VLOOKUP(F106,Mannschaften!$A$1:$B$54,2,FALSE)&lt;&gt;E106,"Reiter Mannschaften füllen",""))</f>
        <v/>
      </c>
      <c r="X106" s="248" t="str">
        <f>IF(ISBLANK(C106),"",IF((U106&gt;(LOOKUP(E106,WKNrListe,Übersicht!$O$7:$O$46)))+(U106&lt;(LOOKUP(E106,WKNrListe,Übersicht!$P$7:$P$46))),"JG falsch",""))</f>
        <v/>
      </c>
      <c r="Y106" s="255" t="str">
        <f>IF((A106="")*(B106=""),"",IF(ISERROR(MATCH(E106,WKNrListe,0)),"WK falsch",LOOKUP(E106,WKNrListe,Übersicht!$B$7:$B$46)))</f>
        <v/>
      </c>
      <c r="Z106" s="269" t="str">
        <f>IF(((AJ106=0)*(AH106&lt;&gt;"")*(AK106="-"))+((AJ106&lt;&gt;0)*(AH106&lt;&gt;"")*(AK106="-")),IF(AG106="X",Übersicht!$C$70,Übersicht!$C$69),"-")</f>
        <v>-</v>
      </c>
      <c r="AA106" s="252" t="str">
        <f>IF((($A106="")*($B106=""))+((MID($Y106,1,4)&lt;&gt;"Wahl")*(Deckblatt!$C$14='WK-Vorlagen'!$C$82))+(Deckblatt!$C$14&lt;&gt;'WK-Vorlagen'!$C$82),"",IF(ISERROR(MATCH(VALUE(MID(G106,1,2)),Schwierigkeitsstufen!$G$7:$G$19,0)),"Gerät falsch",LOOKUP(VALUE(MID(G106,1,2)),Schwierigkeitsstufen!$G$7:$G$19,Schwierigkeitsstufen!$H$7:$H$19)))</f>
        <v/>
      </c>
      <c r="AB106" s="250" t="str">
        <f>IF((($A106="")*($B106=""))+((MID($Y106,1,4)&lt;&gt;"Wahl")*(Deckblatt!$C$14='WK-Vorlagen'!$C$82))+(Deckblatt!$C$14&lt;&gt;'WK-Vorlagen'!$C$82),"",IF(ISERROR(MATCH(VALUE(MID(H106,1,2)),Schwierigkeitsstufen!$G$7:$G$19,0)),"Gerät falsch",LOOKUP(VALUE(MID(H106,1,2)),Schwierigkeitsstufen!$G$7:$G$19,Schwierigkeitsstufen!$H$7:$H$19)))</f>
        <v/>
      </c>
      <c r="AC106" s="250" t="str">
        <f>IF((($A106="")*($B106=""))+((MID($Y106,1,4)&lt;&gt;"Wahl")*(Deckblatt!$C$14='WK-Vorlagen'!$C$82))+(Deckblatt!$C$14&lt;&gt;'WK-Vorlagen'!$C$82),"",IF(ISERROR(MATCH(VALUE(MID(I106,1,2)),Schwierigkeitsstufen!$G$7:$G$19,0)),"Gerät falsch",LOOKUP(VALUE(MID(I106,1,2)),Schwierigkeitsstufen!$G$7:$G$19,Schwierigkeitsstufen!$H$7:$H$19)))</f>
        <v/>
      </c>
      <c r="AD106" s="251" t="str">
        <f>IF((($A106="")*($B106=""))+((MID($Y106,1,4)&lt;&gt;"Wahl")*(Deckblatt!$C$14='WK-Vorlagen'!$C$82))+(Deckblatt!$C$14&lt;&gt;'WK-Vorlagen'!$C$82),"",IF(ISERROR(MATCH(VALUE(MID(J106,1,2)),Schwierigkeitsstufen!$G$7:$G$19,0)),"Gerät falsch",LOOKUP(VALUE(MID(J106,1,2)),Schwierigkeitsstufen!$G$7:$G$19,Schwierigkeitsstufen!$H$7:$H$19)))</f>
        <v/>
      </c>
      <c r="AE106" s="211"/>
      <c r="AG106" s="221" t="str">
        <f t="shared" si="9"/>
        <v/>
      </c>
      <c r="AH106" s="222" t="str">
        <f t="shared" si="11"/>
        <v/>
      </c>
      <c r="AI106" s="220">
        <f t="shared" si="16"/>
        <v>4</v>
      </c>
      <c r="AJ106" s="222">
        <f t="shared" si="12"/>
        <v>0</v>
      </c>
      <c r="AK106" s="299" t="str">
        <f>IF(ISERROR(LOOKUP(E106,WKNrListe,Übersicht!$R$7:$R$46)),"-",LOOKUP(E106,WKNrListe,Übersicht!$R$7:$R$46))</f>
        <v>-</v>
      </c>
      <c r="AL106" s="299" t="str">
        <f t="shared" si="15"/>
        <v>-</v>
      </c>
      <c r="AM106" s="303"/>
      <c r="AN106" s="174" t="str">
        <f t="shared" si="8"/>
        <v>Leer</v>
      </c>
    </row>
    <row r="107" spans="1:40" s="174" customFormat="1" ht="15" customHeight="1">
      <c r="A107" s="63"/>
      <c r="B107" s="63"/>
      <c r="C107" s="84"/>
      <c r="D107" s="85"/>
      <c r="E107" s="62"/>
      <c r="F107" s="62"/>
      <c r="G107" s="62"/>
      <c r="H107" s="62"/>
      <c r="I107" s="62"/>
      <c r="J107" s="62"/>
      <c r="K107" s="62"/>
      <c r="L107" s="62"/>
      <c r="M107" s="62"/>
      <c r="N107" s="62"/>
      <c r="O107" s="62"/>
      <c r="P107" s="62"/>
      <c r="Q107" s="62"/>
      <c r="R107" s="62"/>
      <c r="S107" s="258"/>
      <c r="T107" s="248" t="str">
        <f t="shared" si="13"/>
        <v/>
      </c>
      <c r="U107" s="249" t="str">
        <f t="shared" si="14"/>
        <v/>
      </c>
      <c r="V107" s="294" t="str">
        <f t="shared" si="10"/>
        <v/>
      </c>
      <c r="W107" s="294" t="str">
        <f>IF(((E107="")+(F107="")),"",IF(VLOOKUP(F107,Mannschaften!$A$1:$B$54,2,FALSE)&lt;&gt;E107,"Reiter Mannschaften füllen",""))</f>
        <v/>
      </c>
      <c r="X107" s="248" t="str">
        <f>IF(ISBLANK(C107),"",IF((U107&gt;(LOOKUP(E107,WKNrListe,Übersicht!$O$7:$O$46)))+(U107&lt;(LOOKUP(E107,WKNrListe,Übersicht!$P$7:$P$46))),"JG falsch",""))</f>
        <v/>
      </c>
      <c r="Y107" s="255" t="str">
        <f>IF((A107="")*(B107=""),"",IF(ISERROR(MATCH(E107,WKNrListe,0)),"WK falsch",LOOKUP(E107,WKNrListe,Übersicht!$B$7:$B$46)))</f>
        <v/>
      </c>
      <c r="Z107" s="269" t="str">
        <f>IF(((AJ107=0)*(AH107&lt;&gt;"")*(AK107="-"))+((AJ107&lt;&gt;0)*(AH107&lt;&gt;"")*(AK107="-")),IF(AG107="X",Übersicht!$C$70,Übersicht!$C$69),"-")</f>
        <v>-</v>
      </c>
      <c r="AA107" s="252" t="str">
        <f>IF((($A107="")*($B107=""))+((MID($Y107,1,4)&lt;&gt;"Wahl")*(Deckblatt!$C$14='WK-Vorlagen'!$C$82))+(Deckblatt!$C$14&lt;&gt;'WK-Vorlagen'!$C$82),"",IF(ISERROR(MATCH(VALUE(MID(G107,1,2)),Schwierigkeitsstufen!$G$7:$G$19,0)),"Gerät falsch",LOOKUP(VALUE(MID(G107,1,2)),Schwierigkeitsstufen!$G$7:$G$19,Schwierigkeitsstufen!$H$7:$H$19)))</f>
        <v/>
      </c>
      <c r="AB107" s="250" t="str">
        <f>IF((($A107="")*($B107=""))+((MID($Y107,1,4)&lt;&gt;"Wahl")*(Deckblatt!$C$14='WK-Vorlagen'!$C$82))+(Deckblatt!$C$14&lt;&gt;'WK-Vorlagen'!$C$82),"",IF(ISERROR(MATCH(VALUE(MID(H107,1,2)),Schwierigkeitsstufen!$G$7:$G$19,0)),"Gerät falsch",LOOKUP(VALUE(MID(H107,1,2)),Schwierigkeitsstufen!$G$7:$G$19,Schwierigkeitsstufen!$H$7:$H$19)))</f>
        <v/>
      </c>
      <c r="AC107" s="250" t="str">
        <f>IF((($A107="")*($B107=""))+((MID($Y107,1,4)&lt;&gt;"Wahl")*(Deckblatt!$C$14='WK-Vorlagen'!$C$82))+(Deckblatt!$C$14&lt;&gt;'WK-Vorlagen'!$C$82),"",IF(ISERROR(MATCH(VALUE(MID(I107,1,2)),Schwierigkeitsstufen!$G$7:$G$19,0)),"Gerät falsch",LOOKUP(VALUE(MID(I107,1,2)),Schwierigkeitsstufen!$G$7:$G$19,Schwierigkeitsstufen!$H$7:$H$19)))</f>
        <v/>
      </c>
      <c r="AD107" s="251" t="str">
        <f>IF((($A107="")*($B107=""))+((MID($Y107,1,4)&lt;&gt;"Wahl")*(Deckblatt!$C$14='WK-Vorlagen'!$C$82))+(Deckblatt!$C$14&lt;&gt;'WK-Vorlagen'!$C$82),"",IF(ISERROR(MATCH(VALUE(MID(J107,1,2)),Schwierigkeitsstufen!$G$7:$G$19,0)),"Gerät falsch",LOOKUP(VALUE(MID(J107,1,2)),Schwierigkeitsstufen!$G$7:$G$19,Schwierigkeitsstufen!$H$7:$H$19)))</f>
        <v/>
      </c>
      <c r="AE107" s="211"/>
      <c r="AG107" s="221" t="str">
        <f t="shared" si="9"/>
        <v/>
      </c>
      <c r="AH107" s="222" t="str">
        <f t="shared" si="11"/>
        <v/>
      </c>
      <c r="AI107" s="220">
        <f t="shared" si="16"/>
        <v>4</v>
      </c>
      <c r="AJ107" s="222">
        <f t="shared" si="12"/>
        <v>0</v>
      </c>
      <c r="AK107" s="299" t="str">
        <f>IF(ISERROR(LOOKUP(E107,WKNrListe,Übersicht!$R$7:$R$46)),"-",LOOKUP(E107,WKNrListe,Übersicht!$R$7:$R$46))</f>
        <v>-</v>
      </c>
      <c r="AL107" s="299" t="str">
        <f t="shared" si="15"/>
        <v>-</v>
      </c>
      <c r="AM107" s="303"/>
      <c r="AN107" s="174" t="str">
        <f t="shared" si="8"/>
        <v>Leer</v>
      </c>
    </row>
    <row r="108" spans="1:40" s="174" customFormat="1" ht="15" customHeight="1">
      <c r="A108" s="63"/>
      <c r="B108" s="63"/>
      <c r="C108" s="84"/>
      <c r="D108" s="85"/>
      <c r="E108" s="62"/>
      <c r="F108" s="62"/>
      <c r="G108" s="62"/>
      <c r="H108" s="62"/>
      <c r="I108" s="62"/>
      <c r="J108" s="62"/>
      <c r="K108" s="62"/>
      <c r="L108" s="62"/>
      <c r="M108" s="62"/>
      <c r="N108" s="62"/>
      <c r="O108" s="62"/>
      <c r="P108" s="62"/>
      <c r="Q108" s="62"/>
      <c r="R108" s="62"/>
      <c r="S108" s="258"/>
      <c r="T108" s="248" t="str">
        <f t="shared" si="13"/>
        <v/>
      </c>
      <c r="U108" s="249" t="str">
        <f t="shared" si="14"/>
        <v/>
      </c>
      <c r="V108" s="294" t="str">
        <f t="shared" si="10"/>
        <v/>
      </c>
      <c r="W108" s="294" t="str">
        <f>IF(((E108="")+(F108="")),"",IF(VLOOKUP(F108,Mannschaften!$A$1:$B$54,2,FALSE)&lt;&gt;E108,"Reiter Mannschaften füllen",""))</f>
        <v/>
      </c>
      <c r="X108" s="248" t="str">
        <f>IF(ISBLANK(C108),"",IF((U108&gt;(LOOKUP(E108,WKNrListe,Übersicht!$O$7:$O$46)))+(U108&lt;(LOOKUP(E108,WKNrListe,Übersicht!$P$7:$P$46))),"JG falsch",""))</f>
        <v/>
      </c>
      <c r="Y108" s="255" t="str">
        <f>IF((A108="")*(B108=""),"",IF(ISERROR(MATCH(E108,WKNrListe,0)),"WK falsch",LOOKUP(E108,WKNrListe,Übersicht!$B$7:$B$46)))</f>
        <v/>
      </c>
      <c r="Z108" s="269" t="str">
        <f>IF(((AJ108=0)*(AH108&lt;&gt;"")*(AK108="-"))+((AJ108&lt;&gt;0)*(AH108&lt;&gt;"")*(AK108="-")),IF(AG108="X",Übersicht!$C$70,Übersicht!$C$69),"-")</f>
        <v>-</v>
      </c>
      <c r="AA108" s="252" t="str">
        <f>IF((($A108="")*($B108=""))+((MID($Y108,1,4)&lt;&gt;"Wahl")*(Deckblatt!$C$14='WK-Vorlagen'!$C$82))+(Deckblatt!$C$14&lt;&gt;'WK-Vorlagen'!$C$82),"",IF(ISERROR(MATCH(VALUE(MID(G108,1,2)),Schwierigkeitsstufen!$G$7:$G$19,0)),"Gerät falsch",LOOKUP(VALUE(MID(G108,1,2)),Schwierigkeitsstufen!$G$7:$G$19,Schwierigkeitsstufen!$H$7:$H$19)))</f>
        <v/>
      </c>
      <c r="AB108" s="250" t="str">
        <f>IF((($A108="")*($B108=""))+((MID($Y108,1,4)&lt;&gt;"Wahl")*(Deckblatt!$C$14='WK-Vorlagen'!$C$82))+(Deckblatt!$C$14&lt;&gt;'WK-Vorlagen'!$C$82),"",IF(ISERROR(MATCH(VALUE(MID(H108,1,2)),Schwierigkeitsstufen!$G$7:$G$19,0)),"Gerät falsch",LOOKUP(VALUE(MID(H108,1,2)),Schwierigkeitsstufen!$G$7:$G$19,Schwierigkeitsstufen!$H$7:$H$19)))</f>
        <v/>
      </c>
      <c r="AC108" s="250" t="str">
        <f>IF((($A108="")*($B108=""))+((MID($Y108,1,4)&lt;&gt;"Wahl")*(Deckblatt!$C$14='WK-Vorlagen'!$C$82))+(Deckblatt!$C$14&lt;&gt;'WK-Vorlagen'!$C$82),"",IF(ISERROR(MATCH(VALUE(MID(I108,1,2)),Schwierigkeitsstufen!$G$7:$G$19,0)),"Gerät falsch",LOOKUP(VALUE(MID(I108,1,2)),Schwierigkeitsstufen!$G$7:$G$19,Schwierigkeitsstufen!$H$7:$H$19)))</f>
        <v/>
      </c>
      <c r="AD108" s="251" t="str">
        <f>IF((($A108="")*($B108=""))+((MID($Y108,1,4)&lt;&gt;"Wahl")*(Deckblatt!$C$14='WK-Vorlagen'!$C$82))+(Deckblatt!$C$14&lt;&gt;'WK-Vorlagen'!$C$82),"",IF(ISERROR(MATCH(VALUE(MID(J108,1,2)),Schwierigkeitsstufen!$G$7:$G$19,0)),"Gerät falsch",LOOKUP(VALUE(MID(J108,1,2)),Schwierigkeitsstufen!$G$7:$G$19,Schwierigkeitsstufen!$H$7:$H$19)))</f>
        <v/>
      </c>
      <c r="AE108" s="211"/>
      <c r="AG108" s="221" t="str">
        <f t="shared" si="9"/>
        <v/>
      </c>
      <c r="AH108" s="222" t="str">
        <f t="shared" si="11"/>
        <v/>
      </c>
      <c r="AI108" s="220">
        <f t="shared" si="16"/>
        <v>4</v>
      </c>
      <c r="AJ108" s="222">
        <f t="shared" si="12"/>
        <v>0</v>
      </c>
      <c r="AK108" s="299" t="str">
        <f>IF(ISERROR(LOOKUP(E108,WKNrListe,Übersicht!$R$7:$R$46)),"-",LOOKUP(E108,WKNrListe,Übersicht!$R$7:$R$46))</f>
        <v>-</v>
      </c>
      <c r="AL108" s="299" t="str">
        <f t="shared" si="15"/>
        <v>-</v>
      </c>
      <c r="AM108" s="303"/>
      <c r="AN108" s="174" t="str">
        <f t="shared" si="8"/>
        <v>Leer</v>
      </c>
    </row>
    <row r="109" spans="1:40" s="174" customFormat="1" ht="15" customHeight="1">
      <c r="A109" s="63"/>
      <c r="B109" s="63"/>
      <c r="C109" s="84"/>
      <c r="D109" s="85"/>
      <c r="E109" s="62"/>
      <c r="F109" s="62"/>
      <c r="G109" s="62"/>
      <c r="H109" s="62"/>
      <c r="I109" s="62"/>
      <c r="J109" s="62"/>
      <c r="K109" s="62"/>
      <c r="L109" s="62"/>
      <c r="M109" s="62"/>
      <c r="N109" s="62"/>
      <c r="O109" s="62"/>
      <c r="P109" s="62"/>
      <c r="Q109" s="62"/>
      <c r="R109" s="62"/>
      <c r="S109" s="258"/>
      <c r="T109" s="248" t="str">
        <f t="shared" si="13"/>
        <v/>
      </c>
      <c r="U109" s="249" t="str">
        <f t="shared" si="14"/>
        <v/>
      </c>
      <c r="V109" s="294" t="str">
        <f t="shared" si="10"/>
        <v/>
      </c>
      <c r="W109" s="294" t="str">
        <f>IF(((E109="")+(F109="")),"",IF(VLOOKUP(F109,Mannschaften!$A$1:$B$54,2,FALSE)&lt;&gt;E109,"Reiter Mannschaften füllen",""))</f>
        <v/>
      </c>
      <c r="X109" s="248" t="str">
        <f>IF(ISBLANK(C109),"",IF((U109&gt;(LOOKUP(E109,WKNrListe,Übersicht!$O$7:$O$46)))+(U109&lt;(LOOKUP(E109,WKNrListe,Übersicht!$P$7:$P$46))),"JG falsch",""))</f>
        <v/>
      </c>
      <c r="Y109" s="255" t="str">
        <f>IF((A109="")*(B109=""),"",IF(ISERROR(MATCH(E109,WKNrListe,0)),"WK falsch",LOOKUP(E109,WKNrListe,Übersicht!$B$7:$B$46)))</f>
        <v/>
      </c>
      <c r="Z109" s="269" t="str">
        <f>IF(((AJ109=0)*(AH109&lt;&gt;"")*(AK109="-"))+((AJ109&lt;&gt;0)*(AH109&lt;&gt;"")*(AK109="-")),IF(AG109="X",Übersicht!$C$70,Übersicht!$C$69),"-")</f>
        <v>-</v>
      </c>
      <c r="AA109" s="252" t="str">
        <f>IF((($A109="")*($B109=""))+((MID($Y109,1,4)&lt;&gt;"Wahl")*(Deckblatt!$C$14='WK-Vorlagen'!$C$82))+(Deckblatt!$C$14&lt;&gt;'WK-Vorlagen'!$C$82),"",IF(ISERROR(MATCH(VALUE(MID(G109,1,2)),Schwierigkeitsstufen!$G$7:$G$19,0)),"Gerät falsch",LOOKUP(VALUE(MID(G109,1,2)),Schwierigkeitsstufen!$G$7:$G$19,Schwierigkeitsstufen!$H$7:$H$19)))</f>
        <v/>
      </c>
      <c r="AB109" s="250" t="str">
        <f>IF((($A109="")*($B109=""))+((MID($Y109,1,4)&lt;&gt;"Wahl")*(Deckblatt!$C$14='WK-Vorlagen'!$C$82))+(Deckblatt!$C$14&lt;&gt;'WK-Vorlagen'!$C$82),"",IF(ISERROR(MATCH(VALUE(MID(H109,1,2)),Schwierigkeitsstufen!$G$7:$G$19,0)),"Gerät falsch",LOOKUP(VALUE(MID(H109,1,2)),Schwierigkeitsstufen!$G$7:$G$19,Schwierigkeitsstufen!$H$7:$H$19)))</f>
        <v/>
      </c>
      <c r="AC109" s="250" t="str">
        <f>IF((($A109="")*($B109=""))+((MID($Y109,1,4)&lt;&gt;"Wahl")*(Deckblatt!$C$14='WK-Vorlagen'!$C$82))+(Deckblatt!$C$14&lt;&gt;'WK-Vorlagen'!$C$82),"",IF(ISERROR(MATCH(VALUE(MID(I109,1,2)),Schwierigkeitsstufen!$G$7:$G$19,0)),"Gerät falsch",LOOKUP(VALUE(MID(I109,1,2)),Schwierigkeitsstufen!$G$7:$G$19,Schwierigkeitsstufen!$H$7:$H$19)))</f>
        <v/>
      </c>
      <c r="AD109" s="251" t="str">
        <f>IF((($A109="")*($B109=""))+((MID($Y109,1,4)&lt;&gt;"Wahl")*(Deckblatt!$C$14='WK-Vorlagen'!$C$82))+(Deckblatt!$C$14&lt;&gt;'WK-Vorlagen'!$C$82),"",IF(ISERROR(MATCH(VALUE(MID(J109,1,2)),Schwierigkeitsstufen!$G$7:$G$19,0)),"Gerät falsch",LOOKUP(VALUE(MID(J109,1,2)),Schwierigkeitsstufen!$G$7:$G$19,Schwierigkeitsstufen!$H$7:$H$19)))</f>
        <v/>
      </c>
      <c r="AE109" s="211"/>
      <c r="AG109" s="221" t="str">
        <f t="shared" si="9"/>
        <v/>
      </c>
      <c r="AH109" s="222" t="str">
        <f t="shared" si="11"/>
        <v/>
      </c>
      <c r="AI109" s="220">
        <f t="shared" si="16"/>
        <v>4</v>
      </c>
      <c r="AJ109" s="222">
        <f t="shared" si="12"/>
        <v>0</v>
      </c>
      <c r="AK109" s="299" t="str">
        <f>IF(ISERROR(LOOKUP(E109,WKNrListe,Übersicht!$R$7:$R$46)),"-",LOOKUP(E109,WKNrListe,Übersicht!$R$7:$R$46))</f>
        <v>-</v>
      </c>
      <c r="AL109" s="299" t="str">
        <f t="shared" si="15"/>
        <v>-</v>
      </c>
      <c r="AM109" s="303"/>
      <c r="AN109" s="174" t="str">
        <f t="shared" si="8"/>
        <v>Leer</v>
      </c>
    </row>
    <row r="110" spans="1:40" s="174" customFormat="1" ht="15" customHeight="1">
      <c r="A110" s="63"/>
      <c r="B110" s="63"/>
      <c r="C110" s="84"/>
      <c r="D110" s="85"/>
      <c r="E110" s="62"/>
      <c r="F110" s="62"/>
      <c r="G110" s="62"/>
      <c r="H110" s="62"/>
      <c r="I110" s="62"/>
      <c r="J110" s="62"/>
      <c r="K110" s="62"/>
      <c r="L110" s="62"/>
      <c r="M110" s="62"/>
      <c r="N110" s="62"/>
      <c r="O110" s="62"/>
      <c r="P110" s="62"/>
      <c r="Q110" s="62"/>
      <c r="R110" s="62"/>
      <c r="S110" s="258"/>
      <c r="T110" s="248" t="str">
        <f t="shared" si="13"/>
        <v/>
      </c>
      <c r="U110" s="249" t="str">
        <f t="shared" si="14"/>
        <v/>
      </c>
      <c r="V110" s="294" t="str">
        <f t="shared" si="10"/>
        <v/>
      </c>
      <c r="W110" s="294" t="str">
        <f>IF(((E110="")+(F110="")),"",IF(VLOOKUP(F110,Mannschaften!$A$1:$B$54,2,FALSE)&lt;&gt;E110,"Reiter Mannschaften füllen",""))</f>
        <v/>
      </c>
      <c r="X110" s="248" t="str">
        <f>IF(ISBLANK(C110),"",IF((U110&gt;(LOOKUP(E110,WKNrListe,Übersicht!$O$7:$O$46)))+(U110&lt;(LOOKUP(E110,WKNrListe,Übersicht!$P$7:$P$46))),"JG falsch",""))</f>
        <v/>
      </c>
      <c r="Y110" s="255" t="str">
        <f>IF((A110="")*(B110=""),"",IF(ISERROR(MATCH(E110,WKNrListe,0)),"WK falsch",LOOKUP(E110,WKNrListe,Übersicht!$B$7:$B$46)))</f>
        <v/>
      </c>
      <c r="Z110" s="269" t="str">
        <f>IF(((AJ110=0)*(AH110&lt;&gt;"")*(AK110="-"))+((AJ110&lt;&gt;0)*(AH110&lt;&gt;"")*(AK110="-")),IF(AG110="X",Übersicht!$C$70,Übersicht!$C$69),"-")</f>
        <v>-</v>
      </c>
      <c r="AA110" s="252" t="str">
        <f>IF((($A110="")*($B110=""))+((MID($Y110,1,4)&lt;&gt;"Wahl")*(Deckblatt!$C$14='WK-Vorlagen'!$C$82))+(Deckblatt!$C$14&lt;&gt;'WK-Vorlagen'!$C$82),"",IF(ISERROR(MATCH(VALUE(MID(G110,1,2)),Schwierigkeitsstufen!$G$7:$G$19,0)),"Gerät falsch",LOOKUP(VALUE(MID(G110,1,2)),Schwierigkeitsstufen!$G$7:$G$19,Schwierigkeitsstufen!$H$7:$H$19)))</f>
        <v/>
      </c>
      <c r="AB110" s="250" t="str">
        <f>IF((($A110="")*($B110=""))+((MID($Y110,1,4)&lt;&gt;"Wahl")*(Deckblatt!$C$14='WK-Vorlagen'!$C$82))+(Deckblatt!$C$14&lt;&gt;'WK-Vorlagen'!$C$82),"",IF(ISERROR(MATCH(VALUE(MID(H110,1,2)),Schwierigkeitsstufen!$G$7:$G$19,0)),"Gerät falsch",LOOKUP(VALUE(MID(H110,1,2)),Schwierigkeitsstufen!$G$7:$G$19,Schwierigkeitsstufen!$H$7:$H$19)))</f>
        <v/>
      </c>
      <c r="AC110" s="250" t="str">
        <f>IF((($A110="")*($B110=""))+((MID($Y110,1,4)&lt;&gt;"Wahl")*(Deckblatt!$C$14='WK-Vorlagen'!$C$82))+(Deckblatt!$C$14&lt;&gt;'WK-Vorlagen'!$C$82),"",IF(ISERROR(MATCH(VALUE(MID(I110,1,2)),Schwierigkeitsstufen!$G$7:$G$19,0)),"Gerät falsch",LOOKUP(VALUE(MID(I110,1,2)),Schwierigkeitsstufen!$G$7:$G$19,Schwierigkeitsstufen!$H$7:$H$19)))</f>
        <v/>
      </c>
      <c r="AD110" s="251" t="str">
        <f>IF((($A110="")*($B110=""))+((MID($Y110,1,4)&lt;&gt;"Wahl")*(Deckblatt!$C$14='WK-Vorlagen'!$C$82))+(Deckblatt!$C$14&lt;&gt;'WK-Vorlagen'!$C$82),"",IF(ISERROR(MATCH(VALUE(MID(J110,1,2)),Schwierigkeitsstufen!$G$7:$G$19,0)),"Gerät falsch",LOOKUP(VALUE(MID(J110,1,2)),Schwierigkeitsstufen!$G$7:$G$19,Schwierigkeitsstufen!$H$7:$H$19)))</f>
        <v/>
      </c>
      <c r="AE110" s="211"/>
      <c r="AG110" s="221" t="str">
        <f t="shared" si="9"/>
        <v/>
      </c>
      <c r="AH110" s="222" t="str">
        <f t="shared" si="11"/>
        <v/>
      </c>
      <c r="AI110" s="220">
        <f t="shared" si="16"/>
        <v>4</v>
      </c>
      <c r="AJ110" s="222">
        <f t="shared" si="12"/>
        <v>0</v>
      </c>
      <c r="AK110" s="299" t="str">
        <f>IF(ISERROR(LOOKUP(E110,WKNrListe,Übersicht!$R$7:$R$46)),"-",LOOKUP(E110,WKNrListe,Übersicht!$R$7:$R$46))</f>
        <v>-</v>
      </c>
      <c r="AL110" s="299" t="str">
        <f t="shared" si="15"/>
        <v>-</v>
      </c>
      <c r="AM110" s="303"/>
      <c r="AN110" s="174" t="str">
        <f t="shared" si="8"/>
        <v>Leer</v>
      </c>
    </row>
    <row r="111" spans="1:40" s="174" customFormat="1" ht="15" customHeight="1">
      <c r="A111" s="63"/>
      <c r="B111" s="63"/>
      <c r="C111" s="84"/>
      <c r="D111" s="85"/>
      <c r="E111" s="62"/>
      <c r="F111" s="62"/>
      <c r="G111" s="62"/>
      <c r="H111" s="62"/>
      <c r="I111" s="62"/>
      <c r="J111" s="62"/>
      <c r="K111" s="62"/>
      <c r="L111" s="62"/>
      <c r="M111" s="62"/>
      <c r="N111" s="62"/>
      <c r="O111" s="62"/>
      <c r="P111" s="62"/>
      <c r="Q111" s="62"/>
      <c r="R111" s="62"/>
      <c r="S111" s="258"/>
      <c r="T111" s="248" t="str">
        <f t="shared" si="13"/>
        <v/>
      </c>
      <c r="U111" s="249" t="str">
        <f t="shared" si="14"/>
        <v/>
      </c>
      <c r="V111" s="294" t="str">
        <f t="shared" si="10"/>
        <v/>
      </c>
      <c r="W111" s="294" t="str">
        <f>IF(((E111="")+(F111="")),"",IF(VLOOKUP(F111,Mannschaften!$A$1:$B$54,2,FALSE)&lt;&gt;E111,"Reiter Mannschaften füllen",""))</f>
        <v/>
      </c>
      <c r="X111" s="248" t="str">
        <f>IF(ISBLANK(C111),"",IF((U111&gt;(LOOKUP(E111,WKNrListe,Übersicht!$O$7:$O$46)))+(U111&lt;(LOOKUP(E111,WKNrListe,Übersicht!$P$7:$P$46))),"JG falsch",""))</f>
        <v/>
      </c>
      <c r="Y111" s="255" t="str">
        <f>IF((A111="")*(B111=""),"",IF(ISERROR(MATCH(E111,WKNrListe,0)),"WK falsch",LOOKUP(E111,WKNrListe,Übersicht!$B$7:$B$46)))</f>
        <v/>
      </c>
      <c r="Z111" s="269" t="str">
        <f>IF(((AJ111=0)*(AH111&lt;&gt;"")*(AK111="-"))+((AJ111&lt;&gt;0)*(AH111&lt;&gt;"")*(AK111="-")),IF(AG111="X",Übersicht!$C$70,Übersicht!$C$69),"-")</f>
        <v>-</v>
      </c>
      <c r="AA111" s="252" t="str">
        <f>IF((($A111="")*($B111=""))+((MID($Y111,1,4)&lt;&gt;"Wahl")*(Deckblatt!$C$14='WK-Vorlagen'!$C$82))+(Deckblatt!$C$14&lt;&gt;'WK-Vorlagen'!$C$82),"",IF(ISERROR(MATCH(VALUE(MID(G111,1,2)),Schwierigkeitsstufen!$G$7:$G$19,0)),"Gerät falsch",LOOKUP(VALUE(MID(G111,1,2)),Schwierigkeitsstufen!$G$7:$G$19,Schwierigkeitsstufen!$H$7:$H$19)))</f>
        <v/>
      </c>
      <c r="AB111" s="250" t="str">
        <f>IF((($A111="")*($B111=""))+((MID($Y111,1,4)&lt;&gt;"Wahl")*(Deckblatt!$C$14='WK-Vorlagen'!$C$82))+(Deckblatt!$C$14&lt;&gt;'WK-Vorlagen'!$C$82),"",IF(ISERROR(MATCH(VALUE(MID(H111,1,2)),Schwierigkeitsstufen!$G$7:$G$19,0)),"Gerät falsch",LOOKUP(VALUE(MID(H111,1,2)),Schwierigkeitsstufen!$G$7:$G$19,Schwierigkeitsstufen!$H$7:$H$19)))</f>
        <v/>
      </c>
      <c r="AC111" s="250" t="str">
        <f>IF((($A111="")*($B111=""))+((MID($Y111,1,4)&lt;&gt;"Wahl")*(Deckblatt!$C$14='WK-Vorlagen'!$C$82))+(Deckblatt!$C$14&lt;&gt;'WK-Vorlagen'!$C$82),"",IF(ISERROR(MATCH(VALUE(MID(I111,1,2)),Schwierigkeitsstufen!$G$7:$G$19,0)),"Gerät falsch",LOOKUP(VALUE(MID(I111,1,2)),Schwierigkeitsstufen!$G$7:$G$19,Schwierigkeitsstufen!$H$7:$H$19)))</f>
        <v/>
      </c>
      <c r="AD111" s="251" t="str">
        <f>IF((($A111="")*($B111=""))+((MID($Y111,1,4)&lt;&gt;"Wahl")*(Deckblatt!$C$14='WK-Vorlagen'!$C$82))+(Deckblatt!$C$14&lt;&gt;'WK-Vorlagen'!$C$82),"",IF(ISERROR(MATCH(VALUE(MID(J111,1,2)),Schwierigkeitsstufen!$G$7:$G$19,0)),"Gerät falsch",LOOKUP(VALUE(MID(J111,1,2)),Schwierigkeitsstufen!$G$7:$G$19,Schwierigkeitsstufen!$H$7:$H$19)))</f>
        <v/>
      </c>
      <c r="AE111" s="211"/>
      <c r="AG111" s="221" t="str">
        <f t="shared" si="9"/>
        <v/>
      </c>
      <c r="AH111" s="222" t="str">
        <f t="shared" si="11"/>
        <v/>
      </c>
      <c r="AI111" s="220">
        <f t="shared" si="16"/>
        <v>4</v>
      </c>
      <c r="AJ111" s="222">
        <f t="shared" si="12"/>
        <v>0</v>
      </c>
      <c r="AK111" s="299" t="str">
        <f>IF(ISERROR(LOOKUP(E111,WKNrListe,Übersicht!$R$7:$R$46)),"-",LOOKUP(E111,WKNrListe,Übersicht!$R$7:$R$46))</f>
        <v>-</v>
      </c>
      <c r="AL111" s="299" t="str">
        <f t="shared" si="15"/>
        <v>-</v>
      </c>
      <c r="AM111" s="303"/>
      <c r="AN111" s="174" t="str">
        <f t="shared" ref="AN111:AN174" si="17">IF(ISBLANK(A111)*ISBLANK(B111)*ISBLANK(C111)*ISBLANK(E111)*ISBLANK(F111)*ISBLANK(G111)*ISBLANK(H111)*ISBLANK(I111)*ISBLANK(J111),"Leer","Voll")</f>
        <v>Leer</v>
      </c>
    </row>
    <row r="112" spans="1:40" s="174" customFormat="1" ht="15" customHeight="1">
      <c r="A112" s="63"/>
      <c r="B112" s="63"/>
      <c r="C112" s="84"/>
      <c r="D112" s="85"/>
      <c r="E112" s="62"/>
      <c r="F112" s="62"/>
      <c r="G112" s="62"/>
      <c r="H112" s="62"/>
      <c r="I112" s="62"/>
      <c r="J112" s="62"/>
      <c r="K112" s="62"/>
      <c r="L112" s="62"/>
      <c r="M112" s="62"/>
      <c r="N112" s="62"/>
      <c r="O112" s="62"/>
      <c r="P112" s="62"/>
      <c r="Q112" s="62"/>
      <c r="R112" s="62"/>
      <c r="S112" s="258"/>
      <c r="T112" s="248" t="str">
        <f t="shared" si="13"/>
        <v/>
      </c>
      <c r="U112" s="249" t="str">
        <f t="shared" si="14"/>
        <v/>
      </c>
      <c r="V112" s="294" t="str">
        <f t="shared" si="10"/>
        <v/>
      </c>
      <c r="W112" s="294" t="str">
        <f>IF(((E112="")+(F112="")),"",IF(VLOOKUP(F112,Mannschaften!$A$1:$B$54,2,FALSE)&lt;&gt;E112,"Reiter Mannschaften füllen",""))</f>
        <v/>
      </c>
      <c r="X112" s="248" t="str">
        <f>IF(ISBLANK(C112),"",IF((U112&gt;(LOOKUP(E112,WKNrListe,Übersicht!$O$7:$O$46)))+(U112&lt;(LOOKUP(E112,WKNrListe,Übersicht!$P$7:$P$46))),"JG falsch",""))</f>
        <v/>
      </c>
      <c r="Y112" s="255" t="str">
        <f>IF((A112="")*(B112=""),"",IF(ISERROR(MATCH(E112,WKNrListe,0)),"WK falsch",LOOKUP(E112,WKNrListe,Übersicht!$B$7:$B$46)))</f>
        <v/>
      </c>
      <c r="Z112" s="269" t="str">
        <f>IF(((AJ112=0)*(AH112&lt;&gt;"")*(AK112="-"))+((AJ112&lt;&gt;0)*(AH112&lt;&gt;"")*(AK112="-")),IF(AG112="X",Übersicht!$C$70,Übersicht!$C$69),"-")</f>
        <v>-</v>
      </c>
      <c r="AA112" s="252" t="str">
        <f>IF((($A112="")*($B112=""))+((MID($Y112,1,4)&lt;&gt;"Wahl")*(Deckblatt!$C$14='WK-Vorlagen'!$C$82))+(Deckblatt!$C$14&lt;&gt;'WK-Vorlagen'!$C$82),"",IF(ISERROR(MATCH(VALUE(MID(G112,1,2)),Schwierigkeitsstufen!$G$7:$G$19,0)),"Gerät falsch",LOOKUP(VALUE(MID(G112,1,2)),Schwierigkeitsstufen!$G$7:$G$19,Schwierigkeitsstufen!$H$7:$H$19)))</f>
        <v/>
      </c>
      <c r="AB112" s="250" t="str">
        <f>IF((($A112="")*($B112=""))+((MID($Y112,1,4)&lt;&gt;"Wahl")*(Deckblatt!$C$14='WK-Vorlagen'!$C$82))+(Deckblatt!$C$14&lt;&gt;'WK-Vorlagen'!$C$82),"",IF(ISERROR(MATCH(VALUE(MID(H112,1,2)),Schwierigkeitsstufen!$G$7:$G$19,0)),"Gerät falsch",LOOKUP(VALUE(MID(H112,1,2)),Schwierigkeitsstufen!$G$7:$G$19,Schwierigkeitsstufen!$H$7:$H$19)))</f>
        <v/>
      </c>
      <c r="AC112" s="250" t="str">
        <f>IF((($A112="")*($B112=""))+((MID($Y112,1,4)&lt;&gt;"Wahl")*(Deckblatt!$C$14='WK-Vorlagen'!$C$82))+(Deckblatt!$C$14&lt;&gt;'WK-Vorlagen'!$C$82),"",IF(ISERROR(MATCH(VALUE(MID(I112,1,2)),Schwierigkeitsstufen!$G$7:$G$19,0)),"Gerät falsch",LOOKUP(VALUE(MID(I112,1,2)),Schwierigkeitsstufen!$G$7:$G$19,Schwierigkeitsstufen!$H$7:$H$19)))</f>
        <v/>
      </c>
      <c r="AD112" s="251" t="str">
        <f>IF((($A112="")*($B112=""))+((MID($Y112,1,4)&lt;&gt;"Wahl")*(Deckblatt!$C$14='WK-Vorlagen'!$C$82))+(Deckblatt!$C$14&lt;&gt;'WK-Vorlagen'!$C$82),"",IF(ISERROR(MATCH(VALUE(MID(J112,1,2)),Schwierigkeitsstufen!$G$7:$G$19,0)),"Gerät falsch",LOOKUP(VALUE(MID(J112,1,2)),Schwierigkeitsstufen!$G$7:$G$19,Schwierigkeitsstufen!$H$7:$H$19)))</f>
        <v/>
      </c>
      <c r="AE112" s="211"/>
      <c r="AG112" s="221" t="str">
        <f t="shared" si="9"/>
        <v/>
      </c>
      <c r="AH112" s="222" t="str">
        <f t="shared" si="11"/>
        <v/>
      </c>
      <c r="AI112" s="220">
        <f t="shared" si="16"/>
        <v>4</v>
      </c>
      <c r="AJ112" s="222">
        <f t="shared" si="12"/>
        <v>0</v>
      </c>
      <c r="AK112" s="299" t="str">
        <f>IF(ISERROR(LOOKUP(E112,WKNrListe,Übersicht!$R$7:$R$46)),"-",LOOKUP(E112,WKNrListe,Übersicht!$R$7:$R$46))</f>
        <v>-</v>
      </c>
      <c r="AL112" s="299" t="str">
        <f t="shared" si="15"/>
        <v>-</v>
      </c>
      <c r="AM112" s="303"/>
      <c r="AN112" s="174" t="str">
        <f t="shared" si="17"/>
        <v>Leer</v>
      </c>
    </row>
    <row r="113" spans="1:40" s="174" customFormat="1" ht="15" customHeight="1">
      <c r="A113" s="63"/>
      <c r="B113" s="63"/>
      <c r="C113" s="84"/>
      <c r="D113" s="85"/>
      <c r="E113" s="62"/>
      <c r="F113" s="62"/>
      <c r="G113" s="62"/>
      <c r="H113" s="62"/>
      <c r="I113" s="62"/>
      <c r="J113" s="62"/>
      <c r="K113" s="62"/>
      <c r="L113" s="62"/>
      <c r="M113" s="62"/>
      <c r="N113" s="62"/>
      <c r="O113" s="62"/>
      <c r="P113" s="62"/>
      <c r="Q113" s="62"/>
      <c r="R113" s="62"/>
      <c r="S113" s="258"/>
      <c r="T113" s="248" t="str">
        <f t="shared" si="13"/>
        <v/>
      </c>
      <c r="U113" s="249" t="str">
        <f t="shared" si="14"/>
        <v/>
      </c>
      <c r="V113" s="294" t="str">
        <f t="shared" si="10"/>
        <v/>
      </c>
      <c r="W113" s="294" t="str">
        <f>IF(((E113="")+(F113="")),"",IF(VLOOKUP(F113,Mannschaften!$A$1:$B$54,2,FALSE)&lt;&gt;E113,"Reiter Mannschaften füllen",""))</f>
        <v/>
      </c>
      <c r="X113" s="248" t="str">
        <f>IF(ISBLANK(C113),"",IF((U113&gt;(LOOKUP(E113,WKNrListe,Übersicht!$O$7:$O$46)))+(U113&lt;(LOOKUP(E113,WKNrListe,Übersicht!$P$7:$P$46))),"JG falsch",""))</f>
        <v/>
      </c>
      <c r="Y113" s="255" t="str">
        <f>IF((A113="")*(B113=""),"",IF(ISERROR(MATCH(E113,WKNrListe,0)),"WK falsch",LOOKUP(E113,WKNrListe,Übersicht!$B$7:$B$46)))</f>
        <v/>
      </c>
      <c r="Z113" s="269" t="str">
        <f>IF(((AJ113=0)*(AH113&lt;&gt;"")*(AK113="-"))+((AJ113&lt;&gt;0)*(AH113&lt;&gt;"")*(AK113="-")),IF(AG113="X",Übersicht!$C$70,Übersicht!$C$69),"-")</f>
        <v>-</v>
      </c>
      <c r="AA113" s="252" t="str">
        <f>IF((($A113="")*($B113=""))+((MID($Y113,1,4)&lt;&gt;"Wahl")*(Deckblatt!$C$14='WK-Vorlagen'!$C$82))+(Deckblatt!$C$14&lt;&gt;'WK-Vorlagen'!$C$82),"",IF(ISERROR(MATCH(VALUE(MID(G113,1,2)),Schwierigkeitsstufen!$G$7:$G$19,0)),"Gerät falsch",LOOKUP(VALUE(MID(G113,1,2)),Schwierigkeitsstufen!$G$7:$G$19,Schwierigkeitsstufen!$H$7:$H$19)))</f>
        <v/>
      </c>
      <c r="AB113" s="250" t="str">
        <f>IF((($A113="")*($B113=""))+((MID($Y113,1,4)&lt;&gt;"Wahl")*(Deckblatt!$C$14='WK-Vorlagen'!$C$82))+(Deckblatt!$C$14&lt;&gt;'WK-Vorlagen'!$C$82),"",IF(ISERROR(MATCH(VALUE(MID(H113,1,2)),Schwierigkeitsstufen!$G$7:$G$19,0)),"Gerät falsch",LOOKUP(VALUE(MID(H113,1,2)),Schwierigkeitsstufen!$G$7:$G$19,Schwierigkeitsstufen!$H$7:$H$19)))</f>
        <v/>
      </c>
      <c r="AC113" s="250" t="str">
        <f>IF((($A113="")*($B113=""))+((MID($Y113,1,4)&lt;&gt;"Wahl")*(Deckblatt!$C$14='WK-Vorlagen'!$C$82))+(Deckblatt!$C$14&lt;&gt;'WK-Vorlagen'!$C$82),"",IF(ISERROR(MATCH(VALUE(MID(I113,1,2)),Schwierigkeitsstufen!$G$7:$G$19,0)),"Gerät falsch",LOOKUP(VALUE(MID(I113,1,2)),Schwierigkeitsstufen!$G$7:$G$19,Schwierigkeitsstufen!$H$7:$H$19)))</f>
        <v/>
      </c>
      <c r="AD113" s="251" t="str">
        <f>IF((($A113="")*($B113=""))+((MID($Y113,1,4)&lt;&gt;"Wahl")*(Deckblatt!$C$14='WK-Vorlagen'!$C$82))+(Deckblatt!$C$14&lt;&gt;'WK-Vorlagen'!$C$82),"",IF(ISERROR(MATCH(VALUE(MID(J113,1,2)),Schwierigkeitsstufen!$G$7:$G$19,0)),"Gerät falsch",LOOKUP(VALUE(MID(J113,1,2)),Schwierigkeitsstufen!$G$7:$G$19,Schwierigkeitsstufen!$H$7:$H$19)))</f>
        <v/>
      </c>
      <c r="AE113" s="211"/>
      <c r="AG113" s="221" t="str">
        <f t="shared" si="9"/>
        <v/>
      </c>
      <c r="AH113" s="222" t="str">
        <f t="shared" si="11"/>
        <v/>
      </c>
      <c r="AI113" s="220">
        <f t="shared" si="16"/>
        <v>4</v>
      </c>
      <c r="AJ113" s="222">
        <f t="shared" si="12"/>
        <v>0</v>
      </c>
      <c r="AK113" s="299" t="str">
        <f>IF(ISERROR(LOOKUP(E113,WKNrListe,Übersicht!$R$7:$R$46)),"-",LOOKUP(E113,WKNrListe,Übersicht!$R$7:$R$46))</f>
        <v>-</v>
      </c>
      <c r="AL113" s="299" t="str">
        <f t="shared" si="15"/>
        <v>-</v>
      </c>
      <c r="AM113" s="303"/>
      <c r="AN113" s="174" t="str">
        <f t="shared" si="17"/>
        <v>Leer</v>
      </c>
    </row>
    <row r="114" spans="1:40" s="174" customFormat="1" ht="15" customHeight="1">
      <c r="A114" s="63"/>
      <c r="B114" s="63"/>
      <c r="C114" s="84"/>
      <c r="D114" s="85"/>
      <c r="E114" s="62"/>
      <c r="F114" s="62"/>
      <c r="G114" s="62"/>
      <c r="H114" s="62"/>
      <c r="I114" s="62"/>
      <c r="J114" s="62"/>
      <c r="K114" s="62"/>
      <c r="L114" s="62"/>
      <c r="M114" s="62"/>
      <c r="N114" s="62"/>
      <c r="O114" s="62"/>
      <c r="P114" s="62"/>
      <c r="Q114" s="62"/>
      <c r="R114" s="62"/>
      <c r="S114" s="258"/>
      <c r="T114" s="248" t="str">
        <f t="shared" si="13"/>
        <v/>
      </c>
      <c r="U114" s="249" t="str">
        <f t="shared" si="14"/>
        <v/>
      </c>
      <c r="V114" s="294" t="str">
        <f t="shared" si="10"/>
        <v/>
      </c>
      <c r="W114" s="294" t="str">
        <f>IF(((E114="")+(F114="")),"",IF(VLOOKUP(F114,Mannschaften!$A$1:$B$54,2,FALSE)&lt;&gt;E114,"Reiter Mannschaften füllen",""))</f>
        <v/>
      </c>
      <c r="X114" s="248" t="str">
        <f>IF(ISBLANK(C114),"",IF((U114&gt;(LOOKUP(E114,WKNrListe,Übersicht!$O$7:$O$46)))+(U114&lt;(LOOKUP(E114,WKNrListe,Übersicht!$P$7:$P$46))),"JG falsch",""))</f>
        <v/>
      </c>
      <c r="Y114" s="255" t="str">
        <f>IF((A114="")*(B114=""),"",IF(ISERROR(MATCH(E114,WKNrListe,0)),"WK falsch",LOOKUP(E114,WKNrListe,Übersicht!$B$7:$B$46)))</f>
        <v/>
      </c>
      <c r="Z114" s="269" t="str">
        <f>IF(((AJ114=0)*(AH114&lt;&gt;"")*(AK114="-"))+((AJ114&lt;&gt;0)*(AH114&lt;&gt;"")*(AK114="-")),IF(AG114="X",Übersicht!$C$70,Übersicht!$C$69),"-")</f>
        <v>-</v>
      </c>
      <c r="AA114" s="252" t="str">
        <f>IF((($A114="")*($B114=""))+((MID($Y114,1,4)&lt;&gt;"Wahl")*(Deckblatt!$C$14='WK-Vorlagen'!$C$82))+(Deckblatt!$C$14&lt;&gt;'WK-Vorlagen'!$C$82),"",IF(ISERROR(MATCH(VALUE(MID(G114,1,2)),Schwierigkeitsstufen!$G$7:$G$19,0)),"Gerät falsch",LOOKUP(VALUE(MID(G114,1,2)),Schwierigkeitsstufen!$G$7:$G$19,Schwierigkeitsstufen!$H$7:$H$19)))</f>
        <v/>
      </c>
      <c r="AB114" s="250" t="str">
        <f>IF((($A114="")*($B114=""))+((MID($Y114,1,4)&lt;&gt;"Wahl")*(Deckblatt!$C$14='WK-Vorlagen'!$C$82))+(Deckblatt!$C$14&lt;&gt;'WK-Vorlagen'!$C$82),"",IF(ISERROR(MATCH(VALUE(MID(H114,1,2)),Schwierigkeitsstufen!$G$7:$G$19,0)),"Gerät falsch",LOOKUP(VALUE(MID(H114,1,2)),Schwierigkeitsstufen!$G$7:$G$19,Schwierigkeitsstufen!$H$7:$H$19)))</f>
        <v/>
      </c>
      <c r="AC114" s="250" t="str">
        <f>IF((($A114="")*($B114=""))+((MID($Y114,1,4)&lt;&gt;"Wahl")*(Deckblatt!$C$14='WK-Vorlagen'!$C$82))+(Deckblatt!$C$14&lt;&gt;'WK-Vorlagen'!$C$82),"",IF(ISERROR(MATCH(VALUE(MID(I114,1,2)),Schwierigkeitsstufen!$G$7:$G$19,0)),"Gerät falsch",LOOKUP(VALUE(MID(I114,1,2)),Schwierigkeitsstufen!$G$7:$G$19,Schwierigkeitsstufen!$H$7:$H$19)))</f>
        <v/>
      </c>
      <c r="AD114" s="251" t="str">
        <f>IF((($A114="")*($B114=""))+((MID($Y114,1,4)&lt;&gt;"Wahl")*(Deckblatt!$C$14='WK-Vorlagen'!$C$82))+(Deckblatt!$C$14&lt;&gt;'WK-Vorlagen'!$C$82),"",IF(ISERROR(MATCH(VALUE(MID(J114,1,2)),Schwierigkeitsstufen!$G$7:$G$19,0)),"Gerät falsch",LOOKUP(VALUE(MID(J114,1,2)),Schwierigkeitsstufen!$G$7:$G$19,Schwierigkeitsstufen!$H$7:$H$19)))</f>
        <v/>
      </c>
      <c r="AE114" s="211"/>
      <c r="AG114" s="221" t="str">
        <f t="shared" si="9"/>
        <v/>
      </c>
      <c r="AH114" s="222" t="str">
        <f t="shared" si="11"/>
        <v/>
      </c>
      <c r="AI114" s="220">
        <f t="shared" si="16"/>
        <v>4</v>
      </c>
      <c r="AJ114" s="222">
        <f t="shared" si="12"/>
        <v>0</v>
      </c>
      <c r="AK114" s="299" t="str">
        <f>IF(ISERROR(LOOKUP(E114,WKNrListe,Übersicht!$R$7:$R$46)),"-",LOOKUP(E114,WKNrListe,Übersicht!$R$7:$R$46))</f>
        <v>-</v>
      </c>
      <c r="AL114" s="299" t="str">
        <f t="shared" si="15"/>
        <v>-</v>
      </c>
      <c r="AM114" s="303"/>
      <c r="AN114" s="174" t="str">
        <f t="shared" si="17"/>
        <v>Leer</v>
      </c>
    </row>
    <row r="115" spans="1:40" s="174" customFormat="1" ht="15" customHeight="1">
      <c r="A115" s="63"/>
      <c r="B115" s="63"/>
      <c r="C115" s="84"/>
      <c r="D115" s="85"/>
      <c r="E115" s="62"/>
      <c r="F115" s="62"/>
      <c r="G115" s="62"/>
      <c r="H115" s="62"/>
      <c r="I115" s="62"/>
      <c r="J115" s="62"/>
      <c r="K115" s="62"/>
      <c r="L115" s="62"/>
      <c r="M115" s="62"/>
      <c r="N115" s="62"/>
      <c r="O115" s="62"/>
      <c r="P115" s="62"/>
      <c r="Q115" s="62"/>
      <c r="R115" s="62"/>
      <c r="S115" s="258"/>
      <c r="T115" s="248" t="str">
        <f t="shared" si="13"/>
        <v/>
      </c>
      <c r="U115" s="249" t="str">
        <f t="shared" si="14"/>
        <v/>
      </c>
      <c r="V115" s="294" t="str">
        <f t="shared" si="10"/>
        <v/>
      </c>
      <c r="W115" s="294" t="str">
        <f>IF(((E115="")+(F115="")),"",IF(VLOOKUP(F115,Mannschaften!$A$1:$B$54,2,FALSE)&lt;&gt;E115,"Reiter Mannschaften füllen",""))</f>
        <v/>
      </c>
      <c r="X115" s="248" t="str">
        <f>IF(ISBLANK(C115),"",IF((U115&gt;(LOOKUP(E115,WKNrListe,Übersicht!$O$7:$O$46)))+(U115&lt;(LOOKUP(E115,WKNrListe,Übersicht!$P$7:$P$46))),"JG falsch",""))</f>
        <v/>
      </c>
      <c r="Y115" s="255" t="str">
        <f>IF((A115="")*(B115=""),"",IF(ISERROR(MATCH(E115,WKNrListe,0)),"WK falsch",LOOKUP(E115,WKNrListe,Übersicht!$B$7:$B$46)))</f>
        <v/>
      </c>
      <c r="Z115" s="269" t="str">
        <f>IF(((AJ115=0)*(AH115&lt;&gt;"")*(AK115="-"))+((AJ115&lt;&gt;0)*(AH115&lt;&gt;"")*(AK115="-")),IF(AG115="X",Übersicht!$C$70,Übersicht!$C$69),"-")</f>
        <v>-</v>
      </c>
      <c r="AA115" s="252" t="str">
        <f>IF((($A115="")*($B115=""))+((MID($Y115,1,4)&lt;&gt;"Wahl")*(Deckblatt!$C$14='WK-Vorlagen'!$C$82))+(Deckblatt!$C$14&lt;&gt;'WK-Vorlagen'!$C$82),"",IF(ISERROR(MATCH(VALUE(MID(G115,1,2)),Schwierigkeitsstufen!$G$7:$G$19,0)),"Gerät falsch",LOOKUP(VALUE(MID(G115,1,2)),Schwierigkeitsstufen!$G$7:$G$19,Schwierigkeitsstufen!$H$7:$H$19)))</f>
        <v/>
      </c>
      <c r="AB115" s="250" t="str">
        <f>IF((($A115="")*($B115=""))+((MID($Y115,1,4)&lt;&gt;"Wahl")*(Deckblatt!$C$14='WK-Vorlagen'!$C$82))+(Deckblatt!$C$14&lt;&gt;'WK-Vorlagen'!$C$82),"",IF(ISERROR(MATCH(VALUE(MID(H115,1,2)),Schwierigkeitsstufen!$G$7:$G$19,0)),"Gerät falsch",LOOKUP(VALUE(MID(H115,1,2)),Schwierigkeitsstufen!$G$7:$G$19,Schwierigkeitsstufen!$H$7:$H$19)))</f>
        <v/>
      </c>
      <c r="AC115" s="250" t="str">
        <f>IF((($A115="")*($B115=""))+((MID($Y115,1,4)&lt;&gt;"Wahl")*(Deckblatt!$C$14='WK-Vorlagen'!$C$82))+(Deckblatt!$C$14&lt;&gt;'WK-Vorlagen'!$C$82),"",IF(ISERROR(MATCH(VALUE(MID(I115,1,2)),Schwierigkeitsstufen!$G$7:$G$19,0)),"Gerät falsch",LOOKUP(VALUE(MID(I115,1,2)),Schwierigkeitsstufen!$G$7:$G$19,Schwierigkeitsstufen!$H$7:$H$19)))</f>
        <v/>
      </c>
      <c r="AD115" s="251" t="str">
        <f>IF((($A115="")*($B115=""))+((MID($Y115,1,4)&lt;&gt;"Wahl")*(Deckblatt!$C$14='WK-Vorlagen'!$C$82))+(Deckblatt!$C$14&lt;&gt;'WK-Vorlagen'!$C$82),"",IF(ISERROR(MATCH(VALUE(MID(J115,1,2)),Schwierigkeitsstufen!$G$7:$G$19,0)),"Gerät falsch",LOOKUP(VALUE(MID(J115,1,2)),Schwierigkeitsstufen!$G$7:$G$19,Schwierigkeitsstufen!$H$7:$H$19)))</f>
        <v/>
      </c>
      <c r="AE115" s="211"/>
      <c r="AG115" s="221" t="str">
        <f t="shared" si="9"/>
        <v/>
      </c>
      <c r="AH115" s="222" t="str">
        <f t="shared" si="11"/>
        <v/>
      </c>
      <c r="AI115" s="220">
        <f t="shared" si="16"/>
        <v>4</v>
      </c>
      <c r="AJ115" s="222">
        <f t="shared" si="12"/>
        <v>0</v>
      </c>
      <c r="AK115" s="299" t="str">
        <f>IF(ISERROR(LOOKUP(E115,WKNrListe,Übersicht!$R$7:$R$46)),"-",LOOKUP(E115,WKNrListe,Übersicht!$R$7:$R$46))</f>
        <v>-</v>
      </c>
      <c r="AL115" s="299" t="str">
        <f t="shared" si="15"/>
        <v>-</v>
      </c>
      <c r="AM115" s="303"/>
      <c r="AN115" s="174" t="str">
        <f t="shared" si="17"/>
        <v>Leer</v>
      </c>
    </row>
    <row r="116" spans="1:40" s="174" customFormat="1" ht="15" customHeight="1">
      <c r="A116" s="63"/>
      <c r="B116" s="63"/>
      <c r="C116" s="84"/>
      <c r="D116" s="85"/>
      <c r="E116" s="62"/>
      <c r="F116" s="62"/>
      <c r="G116" s="62"/>
      <c r="H116" s="62"/>
      <c r="I116" s="62"/>
      <c r="J116" s="62"/>
      <c r="K116" s="62"/>
      <c r="L116" s="62"/>
      <c r="M116" s="62"/>
      <c r="N116" s="62"/>
      <c r="O116" s="62"/>
      <c r="P116" s="62"/>
      <c r="Q116" s="62"/>
      <c r="R116" s="62"/>
      <c r="S116" s="258"/>
      <c r="T116" s="248" t="str">
        <f t="shared" si="13"/>
        <v/>
      </c>
      <c r="U116" s="249" t="str">
        <f t="shared" si="14"/>
        <v/>
      </c>
      <c r="V116" s="294" t="str">
        <f t="shared" si="10"/>
        <v/>
      </c>
      <c r="W116" s="294" t="str">
        <f>IF(((E116="")+(F116="")),"",IF(VLOOKUP(F116,Mannschaften!$A$1:$B$54,2,FALSE)&lt;&gt;E116,"Reiter Mannschaften füllen",""))</f>
        <v/>
      </c>
      <c r="X116" s="248" t="str">
        <f>IF(ISBLANK(C116),"",IF((U116&gt;(LOOKUP(E116,WKNrListe,Übersicht!$O$7:$O$46)))+(U116&lt;(LOOKUP(E116,WKNrListe,Übersicht!$P$7:$P$46))),"JG falsch",""))</f>
        <v/>
      </c>
      <c r="Y116" s="255" t="str">
        <f>IF((A116="")*(B116=""),"",IF(ISERROR(MATCH(E116,WKNrListe,0)),"WK falsch",LOOKUP(E116,WKNrListe,Übersicht!$B$7:$B$46)))</f>
        <v/>
      </c>
      <c r="Z116" s="269" t="str">
        <f>IF(((AJ116=0)*(AH116&lt;&gt;"")*(AK116="-"))+((AJ116&lt;&gt;0)*(AH116&lt;&gt;"")*(AK116="-")),IF(AG116="X",Übersicht!$C$70,Übersicht!$C$69),"-")</f>
        <v>-</v>
      </c>
      <c r="AA116" s="252" t="str">
        <f>IF((($A116="")*($B116=""))+((MID($Y116,1,4)&lt;&gt;"Wahl")*(Deckblatt!$C$14='WK-Vorlagen'!$C$82))+(Deckblatt!$C$14&lt;&gt;'WK-Vorlagen'!$C$82),"",IF(ISERROR(MATCH(VALUE(MID(G116,1,2)),Schwierigkeitsstufen!$G$7:$G$19,0)),"Gerät falsch",LOOKUP(VALUE(MID(G116,1,2)),Schwierigkeitsstufen!$G$7:$G$19,Schwierigkeitsstufen!$H$7:$H$19)))</f>
        <v/>
      </c>
      <c r="AB116" s="250" t="str">
        <f>IF((($A116="")*($B116=""))+((MID($Y116,1,4)&lt;&gt;"Wahl")*(Deckblatt!$C$14='WK-Vorlagen'!$C$82))+(Deckblatt!$C$14&lt;&gt;'WK-Vorlagen'!$C$82),"",IF(ISERROR(MATCH(VALUE(MID(H116,1,2)),Schwierigkeitsstufen!$G$7:$G$19,0)),"Gerät falsch",LOOKUP(VALUE(MID(H116,1,2)),Schwierigkeitsstufen!$G$7:$G$19,Schwierigkeitsstufen!$H$7:$H$19)))</f>
        <v/>
      </c>
      <c r="AC116" s="250" t="str">
        <f>IF((($A116="")*($B116=""))+((MID($Y116,1,4)&lt;&gt;"Wahl")*(Deckblatt!$C$14='WK-Vorlagen'!$C$82))+(Deckblatt!$C$14&lt;&gt;'WK-Vorlagen'!$C$82),"",IF(ISERROR(MATCH(VALUE(MID(I116,1,2)),Schwierigkeitsstufen!$G$7:$G$19,0)),"Gerät falsch",LOOKUP(VALUE(MID(I116,1,2)),Schwierigkeitsstufen!$G$7:$G$19,Schwierigkeitsstufen!$H$7:$H$19)))</f>
        <v/>
      </c>
      <c r="AD116" s="251" t="str">
        <f>IF((($A116="")*($B116=""))+((MID($Y116,1,4)&lt;&gt;"Wahl")*(Deckblatt!$C$14='WK-Vorlagen'!$C$82))+(Deckblatt!$C$14&lt;&gt;'WK-Vorlagen'!$C$82),"",IF(ISERROR(MATCH(VALUE(MID(J116,1,2)),Schwierigkeitsstufen!$G$7:$G$19,0)),"Gerät falsch",LOOKUP(VALUE(MID(J116,1,2)),Schwierigkeitsstufen!$G$7:$G$19,Schwierigkeitsstufen!$H$7:$H$19)))</f>
        <v/>
      </c>
      <c r="AE116" s="211"/>
      <c r="AG116" s="221" t="str">
        <f t="shared" si="9"/>
        <v/>
      </c>
      <c r="AH116" s="222" t="str">
        <f t="shared" si="11"/>
        <v/>
      </c>
      <c r="AI116" s="220">
        <f t="shared" si="16"/>
        <v>4</v>
      </c>
      <c r="AJ116" s="222">
        <f t="shared" si="12"/>
        <v>0</v>
      </c>
      <c r="AK116" s="299" t="str">
        <f>IF(ISERROR(LOOKUP(E116,WKNrListe,Übersicht!$R$7:$R$46)),"-",LOOKUP(E116,WKNrListe,Übersicht!$R$7:$R$46))</f>
        <v>-</v>
      </c>
      <c r="AL116" s="299" t="str">
        <f t="shared" si="15"/>
        <v>-</v>
      </c>
      <c r="AM116" s="303"/>
      <c r="AN116" s="174" t="str">
        <f t="shared" si="17"/>
        <v>Leer</v>
      </c>
    </row>
    <row r="117" spans="1:40" s="174" customFormat="1" ht="15" customHeight="1">
      <c r="A117" s="63"/>
      <c r="B117" s="63"/>
      <c r="C117" s="84"/>
      <c r="D117" s="85"/>
      <c r="E117" s="62"/>
      <c r="F117" s="62"/>
      <c r="G117" s="62"/>
      <c r="H117" s="62"/>
      <c r="I117" s="62"/>
      <c r="J117" s="62"/>
      <c r="K117" s="62"/>
      <c r="L117" s="62"/>
      <c r="M117" s="62"/>
      <c r="N117" s="62"/>
      <c r="O117" s="62"/>
      <c r="P117" s="62"/>
      <c r="Q117" s="62"/>
      <c r="R117" s="62"/>
      <c r="S117" s="258"/>
      <c r="T117" s="248" t="str">
        <f t="shared" si="13"/>
        <v/>
      </c>
      <c r="U117" s="249" t="str">
        <f t="shared" si="14"/>
        <v/>
      </c>
      <c r="V117" s="294" t="str">
        <f t="shared" si="10"/>
        <v/>
      </c>
      <c r="W117" s="294" t="str">
        <f>IF(((E117="")+(F117="")),"",IF(VLOOKUP(F117,Mannschaften!$A$1:$B$54,2,FALSE)&lt;&gt;E117,"Reiter Mannschaften füllen",""))</f>
        <v/>
      </c>
      <c r="X117" s="248" t="str">
        <f>IF(ISBLANK(C117),"",IF((U117&gt;(LOOKUP(E117,WKNrListe,Übersicht!$O$7:$O$46)))+(U117&lt;(LOOKUP(E117,WKNrListe,Übersicht!$P$7:$P$46))),"JG falsch",""))</f>
        <v/>
      </c>
      <c r="Y117" s="255" t="str">
        <f>IF((A117="")*(B117=""),"",IF(ISERROR(MATCH(E117,WKNrListe,0)),"WK falsch",LOOKUP(E117,WKNrListe,Übersicht!$B$7:$B$46)))</f>
        <v/>
      </c>
      <c r="Z117" s="269" t="str">
        <f>IF(((AJ117=0)*(AH117&lt;&gt;"")*(AK117="-"))+((AJ117&lt;&gt;0)*(AH117&lt;&gt;"")*(AK117="-")),IF(AG117="X",Übersicht!$C$70,Übersicht!$C$69),"-")</f>
        <v>-</v>
      </c>
      <c r="AA117" s="252" t="str">
        <f>IF((($A117="")*($B117=""))+((MID($Y117,1,4)&lt;&gt;"Wahl")*(Deckblatt!$C$14='WK-Vorlagen'!$C$82))+(Deckblatt!$C$14&lt;&gt;'WK-Vorlagen'!$C$82),"",IF(ISERROR(MATCH(VALUE(MID(G117,1,2)),Schwierigkeitsstufen!$G$7:$G$19,0)),"Gerät falsch",LOOKUP(VALUE(MID(G117,1,2)),Schwierigkeitsstufen!$G$7:$G$19,Schwierigkeitsstufen!$H$7:$H$19)))</f>
        <v/>
      </c>
      <c r="AB117" s="250" t="str">
        <f>IF((($A117="")*($B117=""))+((MID($Y117,1,4)&lt;&gt;"Wahl")*(Deckblatt!$C$14='WK-Vorlagen'!$C$82))+(Deckblatt!$C$14&lt;&gt;'WK-Vorlagen'!$C$82),"",IF(ISERROR(MATCH(VALUE(MID(H117,1,2)),Schwierigkeitsstufen!$G$7:$G$19,0)),"Gerät falsch",LOOKUP(VALUE(MID(H117,1,2)),Schwierigkeitsstufen!$G$7:$G$19,Schwierigkeitsstufen!$H$7:$H$19)))</f>
        <v/>
      </c>
      <c r="AC117" s="250" t="str">
        <f>IF((($A117="")*($B117=""))+((MID($Y117,1,4)&lt;&gt;"Wahl")*(Deckblatt!$C$14='WK-Vorlagen'!$C$82))+(Deckblatt!$C$14&lt;&gt;'WK-Vorlagen'!$C$82),"",IF(ISERROR(MATCH(VALUE(MID(I117,1,2)),Schwierigkeitsstufen!$G$7:$G$19,0)),"Gerät falsch",LOOKUP(VALUE(MID(I117,1,2)),Schwierigkeitsstufen!$G$7:$G$19,Schwierigkeitsstufen!$H$7:$H$19)))</f>
        <v/>
      </c>
      <c r="AD117" s="251" t="str">
        <f>IF((($A117="")*($B117=""))+((MID($Y117,1,4)&lt;&gt;"Wahl")*(Deckblatt!$C$14='WK-Vorlagen'!$C$82))+(Deckblatt!$C$14&lt;&gt;'WK-Vorlagen'!$C$82),"",IF(ISERROR(MATCH(VALUE(MID(J117,1,2)),Schwierigkeitsstufen!$G$7:$G$19,0)),"Gerät falsch",LOOKUP(VALUE(MID(J117,1,2)),Schwierigkeitsstufen!$G$7:$G$19,Schwierigkeitsstufen!$H$7:$H$19)))</f>
        <v/>
      </c>
      <c r="AE117" s="211"/>
      <c r="AG117" s="221" t="str">
        <f t="shared" si="9"/>
        <v/>
      </c>
      <c r="AH117" s="222" t="str">
        <f t="shared" si="11"/>
        <v/>
      </c>
      <c r="AI117" s="220">
        <f t="shared" si="16"/>
        <v>4</v>
      </c>
      <c r="AJ117" s="222">
        <f t="shared" si="12"/>
        <v>0</v>
      </c>
      <c r="AK117" s="299" t="str">
        <f>IF(ISERROR(LOOKUP(E117,WKNrListe,Übersicht!$R$7:$R$46)),"-",LOOKUP(E117,WKNrListe,Übersicht!$R$7:$R$46))</f>
        <v>-</v>
      </c>
      <c r="AL117" s="299" t="str">
        <f t="shared" si="15"/>
        <v>-</v>
      </c>
      <c r="AM117" s="303"/>
      <c r="AN117" s="174" t="str">
        <f t="shared" si="17"/>
        <v>Leer</v>
      </c>
    </row>
    <row r="118" spans="1:40" s="174" customFormat="1" ht="15" customHeight="1">
      <c r="A118" s="63"/>
      <c r="B118" s="63"/>
      <c r="C118" s="84"/>
      <c r="D118" s="85"/>
      <c r="E118" s="62"/>
      <c r="F118" s="62"/>
      <c r="G118" s="62"/>
      <c r="H118" s="62"/>
      <c r="I118" s="62"/>
      <c r="J118" s="62"/>
      <c r="K118" s="62"/>
      <c r="L118" s="62"/>
      <c r="M118" s="62"/>
      <c r="N118" s="62"/>
      <c r="O118" s="62"/>
      <c r="P118" s="62"/>
      <c r="Q118" s="62"/>
      <c r="R118" s="62"/>
      <c r="S118" s="258"/>
      <c r="T118" s="248" t="str">
        <f t="shared" si="13"/>
        <v/>
      </c>
      <c r="U118" s="249" t="str">
        <f t="shared" si="14"/>
        <v/>
      </c>
      <c r="V118" s="294" t="str">
        <f t="shared" si="10"/>
        <v/>
      </c>
      <c r="W118" s="294" t="str">
        <f>IF(((E118="")+(F118="")),"",IF(VLOOKUP(F118,Mannschaften!$A$1:$B$54,2,FALSE)&lt;&gt;E118,"Reiter Mannschaften füllen",""))</f>
        <v/>
      </c>
      <c r="X118" s="248" t="str">
        <f>IF(ISBLANK(C118),"",IF((U118&gt;(LOOKUP(E118,WKNrListe,Übersicht!$O$7:$O$46)))+(U118&lt;(LOOKUP(E118,WKNrListe,Übersicht!$P$7:$P$46))),"JG falsch",""))</f>
        <v/>
      </c>
      <c r="Y118" s="255" t="str">
        <f>IF((A118="")*(B118=""),"",IF(ISERROR(MATCH(E118,WKNrListe,0)),"WK falsch",LOOKUP(E118,WKNrListe,Übersicht!$B$7:$B$46)))</f>
        <v/>
      </c>
      <c r="Z118" s="269" t="str">
        <f>IF(((AJ118=0)*(AH118&lt;&gt;"")*(AK118="-"))+((AJ118&lt;&gt;0)*(AH118&lt;&gt;"")*(AK118="-")),IF(AG118="X",Übersicht!$C$70,Übersicht!$C$69),"-")</f>
        <v>-</v>
      </c>
      <c r="AA118" s="252" t="str">
        <f>IF((($A118="")*($B118=""))+((MID($Y118,1,4)&lt;&gt;"Wahl")*(Deckblatt!$C$14='WK-Vorlagen'!$C$82))+(Deckblatt!$C$14&lt;&gt;'WK-Vorlagen'!$C$82),"",IF(ISERROR(MATCH(VALUE(MID(G118,1,2)),Schwierigkeitsstufen!$G$7:$G$19,0)),"Gerät falsch",LOOKUP(VALUE(MID(G118,1,2)),Schwierigkeitsstufen!$G$7:$G$19,Schwierigkeitsstufen!$H$7:$H$19)))</f>
        <v/>
      </c>
      <c r="AB118" s="250" t="str">
        <f>IF((($A118="")*($B118=""))+((MID($Y118,1,4)&lt;&gt;"Wahl")*(Deckblatt!$C$14='WK-Vorlagen'!$C$82))+(Deckblatt!$C$14&lt;&gt;'WK-Vorlagen'!$C$82),"",IF(ISERROR(MATCH(VALUE(MID(H118,1,2)),Schwierigkeitsstufen!$G$7:$G$19,0)),"Gerät falsch",LOOKUP(VALUE(MID(H118,1,2)),Schwierigkeitsstufen!$G$7:$G$19,Schwierigkeitsstufen!$H$7:$H$19)))</f>
        <v/>
      </c>
      <c r="AC118" s="250" t="str">
        <f>IF((($A118="")*($B118=""))+((MID($Y118,1,4)&lt;&gt;"Wahl")*(Deckblatt!$C$14='WK-Vorlagen'!$C$82))+(Deckblatt!$C$14&lt;&gt;'WK-Vorlagen'!$C$82),"",IF(ISERROR(MATCH(VALUE(MID(I118,1,2)),Schwierigkeitsstufen!$G$7:$G$19,0)),"Gerät falsch",LOOKUP(VALUE(MID(I118,1,2)),Schwierigkeitsstufen!$G$7:$G$19,Schwierigkeitsstufen!$H$7:$H$19)))</f>
        <v/>
      </c>
      <c r="AD118" s="251" t="str">
        <f>IF((($A118="")*($B118=""))+((MID($Y118,1,4)&lt;&gt;"Wahl")*(Deckblatt!$C$14='WK-Vorlagen'!$C$82))+(Deckblatt!$C$14&lt;&gt;'WK-Vorlagen'!$C$82),"",IF(ISERROR(MATCH(VALUE(MID(J118,1,2)),Schwierigkeitsstufen!$G$7:$G$19,0)),"Gerät falsch",LOOKUP(VALUE(MID(J118,1,2)),Schwierigkeitsstufen!$G$7:$G$19,Schwierigkeitsstufen!$H$7:$H$19)))</f>
        <v/>
      </c>
      <c r="AE118" s="211"/>
      <c r="AG118" s="221" t="str">
        <f t="shared" si="9"/>
        <v/>
      </c>
      <c r="AH118" s="222" t="str">
        <f t="shared" si="11"/>
        <v/>
      </c>
      <c r="AI118" s="220">
        <f t="shared" si="16"/>
        <v>4</v>
      </c>
      <c r="AJ118" s="222">
        <f t="shared" si="12"/>
        <v>0</v>
      </c>
      <c r="AK118" s="299" t="str">
        <f>IF(ISERROR(LOOKUP(E118,WKNrListe,Übersicht!$R$7:$R$46)),"-",LOOKUP(E118,WKNrListe,Übersicht!$R$7:$R$46))</f>
        <v>-</v>
      </c>
      <c r="AL118" s="299" t="str">
        <f t="shared" si="15"/>
        <v>-</v>
      </c>
      <c r="AM118" s="303"/>
      <c r="AN118" s="174" t="str">
        <f t="shared" si="17"/>
        <v>Leer</v>
      </c>
    </row>
    <row r="119" spans="1:40" s="174" customFormat="1" ht="15" customHeight="1">
      <c r="A119" s="63"/>
      <c r="B119" s="63"/>
      <c r="C119" s="84"/>
      <c r="D119" s="85"/>
      <c r="E119" s="62"/>
      <c r="F119" s="62"/>
      <c r="G119" s="62"/>
      <c r="H119" s="62"/>
      <c r="I119" s="62"/>
      <c r="J119" s="62"/>
      <c r="K119" s="62"/>
      <c r="L119" s="62"/>
      <c r="M119" s="62"/>
      <c r="N119" s="62"/>
      <c r="O119" s="62"/>
      <c r="P119" s="62"/>
      <c r="Q119" s="62"/>
      <c r="R119" s="62"/>
      <c r="S119" s="258"/>
      <c r="T119" s="248" t="str">
        <f t="shared" si="13"/>
        <v/>
      </c>
      <c r="U119" s="249" t="str">
        <f t="shared" si="14"/>
        <v/>
      </c>
      <c r="V119" s="294" t="str">
        <f t="shared" si="10"/>
        <v/>
      </c>
      <c r="W119" s="294" t="str">
        <f>IF(((E119="")+(F119="")),"",IF(VLOOKUP(F119,Mannschaften!$A$1:$B$54,2,FALSE)&lt;&gt;E119,"Reiter Mannschaften füllen",""))</f>
        <v/>
      </c>
      <c r="X119" s="248" t="str">
        <f>IF(ISBLANK(C119),"",IF((U119&gt;(LOOKUP(E119,WKNrListe,Übersicht!$O$7:$O$46)))+(U119&lt;(LOOKUP(E119,WKNrListe,Übersicht!$P$7:$P$46))),"JG falsch",""))</f>
        <v/>
      </c>
      <c r="Y119" s="255" t="str">
        <f>IF((A119="")*(B119=""),"",IF(ISERROR(MATCH(E119,WKNrListe,0)),"WK falsch",LOOKUP(E119,WKNrListe,Übersicht!$B$7:$B$46)))</f>
        <v/>
      </c>
      <c r="Z119" s="269" t="str">
        <f>IF(((AJ119=0)*(AH119&lt;&gt;"")*(AK119="-"))+((AJ119&lt;&gt;0)*(AH119&lt;&gt;"")*(AK119="-")),IF(AG119="X",Übersicht!$C$70,Übersicht!$C$69),"-")</f>
        <v>-</v>
      </c>
      <c r="AA119" s="252" t="str">
        <f>IF((($A119="")*($B119=""))+((MID($Y119,1,4)&lt;&gt;"Wahl")*(Deckblatt!$C$14='WK-Vorlagen'!$C$82))+(Deckblatt!$C$14&lt;&gt;'WK-Vorlagen'!$C$82),"",IF(ISERROR(MATCH(VALUE(MID(G119,1,2)),Schwierigkeitsstufen!$G$7:$G$19,0)),"Gerät falsch",LOOKUP(VALUE(MID(G119,1,2)),Schwierigkeitsstufen!$G$7:$G$19,Schwierigkeitsstufen!$H$7:$H$19)))</f>
        <v/>
      </c>
      <c r="AB119" s="250" t="str">
        <f>IF((($A119="")*($B119=""))+((MID($Y119,1,4)&lt;&gt;"Wahl")*(Deckblatt!$C$14='WK-Vorlagen'!$C$82))+(Deckblatt!$C$14&lt;&gt;'WK-Vorlagen'!$C$82),"",IF(ISERROR(MATCH(VALUE(MID(H119,1,2)),Schwierigkeitsstufen!$G$7:$G$19,0)),"Gerät falsch",LOOKUP(VALUE(MID(H119,1,2)),Schwierigkeitsstufen!$G$7:$G$19,Schwierigkeitsstufen!$H$7:$H$19)))</f>
        <v/>
      </c>
      <c r="AC119" s="250" t="str">
        <f>IF((($A119="")*($B119=""))+((MID($Y119,1,4)&lt;&gt;"Wahl")*(Deckblatt!$C$14='WK-Vorlagen'!$C$82))+(Deckblatt!$C$14&lt;&gt;'WK-Vorlagen'!$C$82),"",IF(ISERROR(MATCH(VALUE(MID(I119,1,2)),Schwierigkeitsstufen!$G$7:$G$19,0)),"Gerät falsch",LOOKUP(VALUE(MID(I119,1,2)),Schwierigkeitsstufen!$G$7:$G$19,Schwierigkeitsstufen!$H$7:$H$19)))</f>
        <v/>
      </c>
      <c r="AD119" s="251" t="str">
        <f>IF((($A119="")*($B119=""))+((MID($Y119,1,4)&lt;&gt;"Wahl")*(Deckblatt!$C$14='WK-Vorlagen'!$C$82))+(Deckblatt!$C$14&lt;&gt;'WK-Vorlagen'!$C$82),"",IF(ISERROR(MATCH(VALUE(MID(J119,1,2)),Schwierigkeitsstufen!$G$7:$G$19,0)),"Gerät falsch",LOOKUP(VALUE(MID(J119,1,2)),Schwierigkeitsstufen!$G$7:$G$19,Schwierigkeitsstufen!$H$7:$H$19)))</f>
        <v/>
      </c>
      <c r="AE119" s="211"/>
      <c r="AG119" s="221" t="str">
        <f t="shared" si="9"/>
        <v/>
      </c>
      <c r="AH119" s="222" t="str">
        <f t="shared" si="11"/>
        <v/>
      </c>
      <c r="AI119" s="220">
        <f t="shared" si="16"/>
        <v>4</v>
      </c>
      <c r="AJ119" s="222">
        <f t="shared" si="12"/>
        <v>0</v>
      </c>
      <c r="AK119" s="299" t="str">
        <f>IF(ISERROR(LOOKUP(E119,WKNrListe,Übersicht!$R$7:$R$46)),"-",LOOKUP(E119,WKNrListe,Übersicht!$R$7:$R$46))</f>
        <v>-</v>
      </c>
      <c r="AL119" s="299" t="str">
        <f t="shared" si="15"/>
        <v>-</v>
      </c>
      <c r="AM119" s="303"/>
      <c r="AN119" s="174" t="str">
        <f t="shared" si="17"/>
        <v>Leer</v>
      </c>
    </row>
    <row r="120" spans="1:40" s="174" customFormat="1" ht="15" customHeight="1">
      <c r="A120" s="63"/>
      <c r="B120" s="63"/>
      <c r="C120" s="84"/>
      <c r="D120" s="85"/>
      <c r="E120" s="62"/>
      <c r="F120" s="62"/>
      <c r="G120" s="62"/>
      <c r="H120" s="62"/>
      <c r="I120" s="62"/>
      <c r="J120" s="62"/>
      <c r="K120" s="62"/>
      <c r="L120" s="62"/>
      <c r="M120" s="62"/>
      <c r="N120" s="62"/>
      <c r="O120" s="62"/>
      <c r="P120" s="62"/>
      <c r="Q120" s="62"/>
      <c r="R120" s="62"/>
      <c r="S120" s="258"/>
      <c r="T120" s="248" t="str">
        <f t="shared" si="13"/>
        <v/>
      </c>
      <c r="U120" s="249" t="str">
        <f t="shared" si="14"/>
        <v/>
      </c>
      <c r="V120" s="294" t="str">
        <f t="shared" si="10"/>
        <v/>
      </c>
      <c r="W120" s="294" t="str">
        <f>IF(((E120="")+(F120="")),"",IF(VLOOKUP(F120,Mannschaften!$A$1:$B$54,2,FALSE)&lt;&gt;E120,"Reiter Mannschaften füllen",""))</f>
        <v/>
      </c>
      <c r="X120" s="248" t="str">
        <f>IF(ISBLANK(C120),"",IF((U120&gt;(LOOKUP(E120,WKNrListe,Übersicht!$O$7:$O$46)))+(U120&lt;(LOOKUP(E120,WKNrListe,Übersicht!$P$7:$P$46))),"JG falsch",""))</f>
        <v/>
      </c>
      <c r="Y120" s="255" t="str">
        <f>IF((A120="")*(B120=""),"",IF(ISERROR(MATCH(E120,WKNrListe,0)),"WK falsch",LOOKUP(E120,WKNrListe,Übersicht!$B$7:$B$46)))</f>
        <v/>
      </c>
      <c r="Z120" s="269" t="str">
        <f>IF(((AJ120=0)*(AH120&lt;&gt;"")*(AK120="-"))+((AJ120&lt;&gt;0)*(AH120&lt;&gt;"")*(AK120="-")),IF(AG120="X",Übersicht!$C$70,Übersicht!$C$69),"-")</f>
        <v>-</v>
      </c>
      <c r="AA120" s="252" t="str">
        <f>IF((($A120="")*($B120=""))+((MID($Y120,1,4)&lt;&gt;"Wahl")*(Deckblatt!$C$14='WK-Vorlagen'!$C$82))+(Deckblatt!$C$14&lt;&gt;'WK-Vorlagen'!$C$82),"",IF(ISERROR(MATCH(VALUE(MID(G120,1,2)),Schwierigkeitsstufen!$G$7:$G$19,0)),"Gerät falsch",LOOKUP(VALUE(MID(G120,1,2)),Schwierigkeitsstufen!$G$7:$G$19,Schwierigkeitsstufen!$H$7:$H$19)))</f>
        <v/>
      </c>
      <c r="AB120" s="250" t="str">
        <f>IF((($A120="")*($B120=""))+((MID($Y120,1,4)&lt;&gt;"Wahl")*(Deckblatt!$C$14='WK-Vorlagen'!$C$82))+(Deckblatt!$C$14&lt;&gt;'WK-Vorlagen'!$C$82),"",IF(ISERROR(MATCH(VALUE(MID(H120,1,2)),Schwierigkeitsstufen!$G$7:$G$19,0)),"Gerät falsch",LOOKUP(VALUE(MID(H120,1,2)),Schwierigkeitsstufen!$G$7:$G$19,Schwierigkeitsstufen!$H$7:$H$19)))</f>
        <v/>
      </c>
      <c r="AC120" s="250" t="str">
        <f>IF((($A120="")*($B120=""))+((MID($Y120,1,4)&lt;&gt;"Wahl")*(Deckblatt!$C$14='WK-Vorlagen'!$C$82))+(Deckblatt!$C$14&lt;&gt;'WK-Vorlagen'!$C$82),"",IF(ISERROR(MATCH(VALUE(MID(I120,1,2)),Schwierigkeitsstufen!$G$7:$G$19,0)),"Gerät falsch",LOOKUP(VALUE(MID(I120,1,2)),Schwierigkeitsstufen!$G$7:$G$19,Schwierigkeitsstufen!$H$7:$H$19)))</f>
        <v/>
      </c>
      <c r="AD120" s="251" t="str">
        <f>IF((($A120="")*($B120=""))+((MID($Y120,1,4)&lt;&gt;"Wahl")*(Deckblatt!$C$14='WK-Vorlagen'!$C$82))+(Deckblatt!$C$14&lt;&gt;'WK-Vorlagen'!$C$82),"",IF(ISERROR(MATCH(VALUE(MID(J120,1,2)),Schwierigkeitsstufen!$G$7:$G$19,0)),"Gerät falsch",LOOKUP(VALUE(MID(J120,1,2)),Schwierigkeitsstufen!$G$7:$G$19,Schwierigkeitsstufen!$H$7:$H$19)))</f>
        <v/>
      </c>
      <c r="AE120" s="211"/>
      <c r="AG120" s="221" t="str">
        <f t="shared" si="9"/>
        <v/>
      </c>
      <c r="AH120" s="222" t="str">
        <f t="shared" si="11"/>
        <v/>
      </c>
      <c r="AI120" s="220">
        <f t="shared" si="16"/>
        <v>4</v>
      </c>
      <c r="AJ120" s="222">
        <f t="shared" si="12"/>
        <v>0</v>
      </c>
      <c r="AK120" s="299" t="str">
        <f>IF(ISERROR(LOOKUP(E120,WKNrListe,Übersicht!$R$7:$R$46)),"-",LOOKUP(E120,WKNrListe,Übersicht!$R$7:$R$46))</f>
        <v>-</v>
      </c>
      <c r="AL120" s="299" t="str">
        <f t="shared" si="15"/>
        <v>-</v>
      </c>
      <c r="AM120" s="303"/>
      <c r="AN120" s="174" t="str">
        <f t="shared" si="17"/>
        <v>Leer</v>
      </c>
    </row>
    <row r="121" spans="1:40" s="174" customFormat="1" ht="15" customHeight="1">
      <c r="A121" s="63"/>
      <c r="B121" s="63"/>
      <c r="C121" s="84"/>
      <c r="D121" s="85"/>
      <c r="E121" s="62"/>
      <c r="F121" s="62"/>
      <c r="G121" s="62"/>
      <c r="H121" s="62"/>
      <c r="I121" s="62"/>
      <c r="J121" s="62"/>
      <c r="K121" s="62"/>
      <c r="L121" s="62"/>
      <c r="M121" s="62"/>
      <c r="N121" s="62"/>
      <c r="O121" s="62"/>
      <c r="P121" s="62"/>
      <c r="Q121" s="62"/>
      <c r="R121" s="62"/>
      <c r="S121" s="258"/>
      <c r="T121" s="248" t="str">
        <f t="shared" si="13"/>
        <v/>
      </c>
      <c r="U121" s="249" t="str">
        <f t="shared" si="14"/>
        <v/>
      </c>
      <c r="V121" s="294" t="str">
        <f t="shared" si="10"/>
        <v/>
      </c>
      <c r="W121" s="294" t="str">
        <f>IF(((E121="")+(F121="")),"",IF(VLOOKUP(F121,Mannschaften!$A$1:$B$54,2,FALSE)&lt;&gt;E121,"Reiter Mannschaften füllen",""))</f>
        <v/>
      </c>
      <c r="X121" s="248" t="str">
        <f>IF(ISBLANK(C121),"",IF((U121&gt;(LOOKUP(E121,WKNrListe,Übersicht!$O$7:$O$46)))+(U121&lt;(LOOKUP(E121,WKNrListe,Übersicht!$P$7:$P$46))),"JG falsch",""))</f>
        <v/>
      </c>
      <c r="Y121" s="255" t="str">
        <f>IF((A121="")*(B121=""),"",IF(ISERROR(MATCH(E121,WKNrListe,0)),"WK falsch",LOOKUP(E121,WKNrListe,Übersicht!$B$7:$B$46)))</f>
        <v/>
      </c>
      <c r="Z121" s="269" t="str">
        <f>IF(((AJ121=0)*(AH121&lt;&gt;"")*(AK121="-"))+((AJ121&lt;&gt;0)*(AH121&lt;&gt;"")*(AK121="-")),IF(AG121="X",Übersicht!$C$70,Übersicht!$C$69),"-")</f>
        <v>-</v>
      </c>
      <c r="AA121" s="252" t="str">
        <f>IF((($A121="")*($B121=""))+((MID($Y121,1,4)&lt;&gt;"Wahl")*(Deckblatt!$C$14='WK-Vorlagen'!$C$82))+(Deckblatt!$C$14&lt;&gt;'WK-Vorlagen'!$C$82),"",IF(ISERROR(MATCH(VALUE(MID(G121,1,2)),Schwierigkeitsstufen!$G$7:$G$19,0)),"Gerät falsch",LOOKUP(VALUE(MID(G121,1,2)),Schwierigkeitsstufen!$G$7:$G$19,Schwierigkeitsstufen!$H$7:$H$19)))</f>
        <v/>
      </c>
      <c r="AB121" s="250" t="str">
        <f>IF((($A121="")*($B121=""))+((MID($Y121,1,4)&lt;&gt;"Wahl")*(Deckblatt!$C$14='WK-Vorlagen'!$C$82))+(Deckblatt!$C$14&lt;&gt;'WK-Vorlagen'!$C$82),"",IF(ISERROR(MATCH(VALUE(MID(H121,1,2)),Schwierigkeitsstufen!$G$7:$G$19,0)),"Gerät falsch",LOOKUP(VALUE(MID(H121,1,2)),Schwierigkeitsstufen!$G$7:$G$19,Schwierigkeitsstufen!$H$7:$H$19)))</f>
        <v/>
      </c>
      <c r="AC121" s="250" t="str">
        <f>IF((($A121="")*($B121=""))+((MID($Y121,1,4)&lt;&gt;"Wahl")*(Deckblatt!$C$14='WK-Vorlagen'!$C$82))+(Deckblatt!$C$14&lt;&gt;'WK-Vorlagen'!$C$82),"",IF(ISERROR(MATCH(VALUE(MID(I121,1,2)),Schwierigkeitsstufen!$G$7:$G$19,0)),"Gerät falsch",LOOKUP(VALUE(MID(I121,1,2)),Schwierigkeitsstufen!$G$7:$G$19,Schwierigkeitsstufen!$H$7:$H$19)))</f>
        <v/>
      </c>
      <c r="AD121" s="251" t="str">
        <f>IF((($A121="")*($B121=""))+((MID($Y121,1,4)&lt;&gt;"Wahl")*(Deckblatt!$C$14='WK-Vorlagen'!$C$82))+(Deckblatt!$C$14&lt;&gt;'WK-Vorlagen'!$C$82),"",IF(ISERROR(MATCH(VALUE(MID(J121,1,2)),Schwierigkeitsstufen!$G$7:$G$19,0)),"Gerät falsch",LOOKUP(VALUE(MID(J121,1,2)),Schwierigkeitsstufen!$G$7:$G$19,Schwierigkeitsstufen!$H$7:$H$19)))</f>
        <v/>
      </c>
      <c r="AE121" s="211"/>
      <c r="AG121" s="221" t="str">
        <f t="shared" si="9"/>
        <v/>
      </c>
      <c r="AH121" s="222" t="str">
        <f t="shared" si="11"/>
        <v/>
      </c>
      <c r="AI121" s="220">
        <f t="shared" si="16"/>
        <v>4</v>
      </c>
      <c r="AJ121" s="222">
        <f t="shared" si="12"/>
        <v>0</v>
      </c>
      <c r="AK121" s="299" t="str">
        <f>IF(ISERROR(LOOKUP(E121,WKNrListe,Übersicht!$R$7:$R$46)),"-",LOOKUP(E121,WKNrListe,Übersicht!$R$7:$R$46))</f>
        <v>-</v>
      </c>
      <c r="AL121" s="299" t="str">
        <f t="shared" si="15"/>
        <v>-</v>
      </c>
      <c r="AM121" s="303"/>
      <c r="AN121" s="174" t="str">
        <f t="shared" si="17"/>
        <v>Leer</v>
      </c>
    </row>
    <row r="122" spans="1:40" s="174" customFormat="1" ht="15" customHeight="1">
      <c r="A122" s="63"/>
      <c r="B122" s="63"/>
      <c r="C122" s="84"/>
      <c r="D122" s="85"/>
      <c r="E122" s="62"/>
      <c r="F122" s="62"/>
      <c r="G122" s="62"/>
      <c r="H122" s="62"/>
      <c r="I122" s="62"/>
      <c r="J122" s="62"/>
      <c r="K122" s="62"/>
      <c r="L122" s="62"/>
      <c r="M122" s="62"/>
      <c r="N122" s="62"/>
      <c r="O122" s="62"/>
      <c r="P122" s="62"/>
      <c r="Q122" s="62"/>
      <c r="R122" s="62"/>
      <c r="S122" s="258"/>
      <c r="T122" s="248" t="str">
        <f t="shared" si="13"/>
        <v/>
      </c>
      <c r="U122" s="249" t="str">
        <f t="shared" si="14"/>
        <v/>
      </c>
      <c r="V122" s="294" t="str">
        <f t="shared" si="10"/>
        <v/>
      </c>
      <c r="W122" s="294" t="str">
        <f>IF(((E122="")+(F122="")),"",IF(VLOOKUP(F122,Mannschaften!$A$1:$B$54,2,FALSE)&lt;&gt;E122,"Reiter Mannschaften füllen",""))</f>
        <v/>
      </c>
      <c r="X122" s="248" t="str">
        <f>IF(ISBLANK(C122),"",IF((U122&gt;(LOOKUP(E122,WKNrListe,Übersicht!$O$7:$O$46)))+(U122&lt;(LOOKUP(E122,WKNrListe,Übersicht!$P$7:$P$46))),"JG falsch",""))</f>
        <v/>
      </c>
      <c r="Y122" s="255" t="str">
        <f>IF((A122="")*(B122=""),"",IF(ISERROR(MATCH(E122,WKNrListe,0)),"WK falsch",LOOKUP(E122,WKNrListe,Übersicht!$B$7:$B$46)))</f>
        <v/>
      </c>
      <c r="Z122" s="269" t="str">
        <f>IF(((AJ122=0)*(AH122&lt;&gt;"")*(AK122="-"))+((AJ122&lt;&gt;0)*(AH122&lt;&gt;"")*(AK122="-")),IF(AG122="X",Übersicht!$C$70,Übersicht!$C$69),"-")</f>
        <v>-</v>
      </c>
      <c r="AA122" s="252" t="str">
        <f>IF((($A122="")*($B122=""))+((MID($Y122,1,4)&lt;&gt;"Wahl")*(Deckblatt!$C$14='WK-Vorlagen'!$C$82))+(Deckblatt!$C$14&lt;&gt;'WK-Vorlagen'!$C$82),"",IF(ISERROR(MATCH(VALUE(MID(G122,1,2)),Schwierigkeitsstufen!$G$7:$G$19,0)),"Gerät falsch",LOOKUP(VALUE(MID(G122,1,2)),Schwierigkeitsstufen!$G$7:$G$19,Schwierigkeitsstufen!$H$7:$H$19)))</f>
        <v/>
      </c>
      <c r="AB122" s="250" t="str">
        <f>IF((($A122="")*($B122=""))+((MID($Y122,1,4)&lt;&gt;"Wahl")*(Deckblatt!$C$14='WK-Vorlagen'!$C$82))+(Deckblatt!$C$14&lt;&gt;'WK-Vorlagen'!$C$82),"",IF(ISERROR(MATCH(VALUE(MID(H122,1,2)),Schwierigkeitsstufen!$G$7:$G$19,0)),"Gerät falsch",LOOKUP(VALUE(MID(H122,1,2)),Schwierigkeitsstufen!$G$7:$G$19,Schwierigkeitsstufen!$H$7:$H$19)))</f>
        <v/>
      </c>
      <c r="AC122" s="250" t="str">
        <f>IF((($A122="")*($B122=""))+((MID($Y122,1,4)&lt;&gt;"Wahl")*(Deckblatt!$C$14='WK-Vorlagen'!$C$82))+(Deckblatt!$C$14&lt;&gt;'WK-Vorlagen'!$C$82),"",IF(ISERROR(MATCH(VALUE(MID(I122,1,2)),Schwierigkeitsstufen!$G$7:$G$19,0)),"Gerät falsch",LOOKUP(VALUE(MID(I122,1,2)),Schwierigkeitsstufen!$G$7:$G$19,Schwierigkeitsstufen!$H$7:$H$19)))</f>
        <v/>
      </c>
      <c r="AD122" s="251" t="str">
        <f>IF((($A122="")*($B122=""))+((MID($Y122,1,4)&lt;&gt;"Wahl")*(Deckblatt!$C$14='WK-Vorlagen'!$C$82))+(Deckblatt!$C$14&lt;&gt;'WK-Vorlagen'!$C$82),"",IF(ISERROR(MATCH(VALUE(MID(J122,1,2)),Schwierigkeitsstufen!$G$7:$G$19,0)),"Gerät falsch",LOOKUP(VALUE(MID(J122,1,2)),Schwierigkeitsstufen!$G$7:$G$19,Schwierigkeitsstufen!$H$7:$H$19)))</f>
        <v/>
      </c>
      <c r="AE122" s="211"/>
      <c r="AG122" s="221" t="str">
        <f t="shared" si="9"/>
        <v/>
      </c>
      <c r="AH122" s="222" t="str">
        <f t="shared" si="11"/>
        <v/>
      </c>
      <c r="AI122" s="220">
        <f t="shared" si="16"/>
        <v>4</v>
      </c>
      <c r="AJ122" s="222">
        <f t="shared" si="12"/>
        <v>0</v>
      </c>
      <c r="AK122" s="299" t="str">
        <f>IF(ISERROR(LOOKUP(E122,WKNrListe,Übersicht!$R$7:$R$46)),"-",LOOKUP(E122,WKNrListe,Übersicht!$R$7:$R$46))</f>
        <v>-</v>
      </c>
      <c r="AL122" s="299" t="str">
        <f t="shared" si="15"/>
        <v>-</v>
      </c>
      <c r="AM122" s="303"/>
      <c r="AN122" s="174" t="str">
        <f t="shared" si="17"/>
        <v>Leer</v>
      </c>
    </row>
    <row r="123" spans="1:40" s="174" customFormat="1" ht="15" customHeight="1">
      <c r="A123" s="63"/>
      <c r="B123" s="63"/>
      <c r="C123" s="84"/>
      <c r="D123" s="85"/>
      <c r="E123" s="62"/>
      <c r="F123" s="62"/>
      <c r="G123" s="62"/>
      <c r="H123" s="62"/>
      <c r="I123" s="62"/>
      <c r="J123" s="62"/>
      <c r="K123" s="62"/>
      <c r="L123" s="62"/>
      <c r="M123" s="62"/>
      <c r="N123" s="62"/>
      <c r="O123" s="62"/>
      <c r="P123" s="62"/>
      <c r="Q123" s="62"/>
      <c r="R123" s="62"/>
      <c r="S123" s="258"/>
      <c r="T123" s="248" t="str">
        <f t="shared" si="13"/>
        <v/>
      </c>
      <c r="U123" s="249" t="str">
        <f t="shared" si="14"/>
        <v/>
      </c>
      <c r="V123" s="294" t="str">
        <f t="shared" si="10"/>
        <v/>
      </c>
      <c r="W123" s="294" t="str">
        <f>IF(((E123="")+(F123="")),"",IF(VLOOKUP(F123,Mannschaften!$A$1:$B$54,2,FALSE)&lt;&gt;E123,"Reiter Mannschaften füllen",""))</f>
        <v/>
      </c>
      <c r="X123" s="248" t="str">
        <f>IF(ISBLANK(C123),"",IF((U123&gt;(LOOKUP(E123,WKNrListe,Übersicht!$O$7:$O$46)))+(U123&lt;(LOOKUP(E123,WKNrListe,Übersicht!$P$7:$P$46))),"JG falsch",""))</f>
        <v/>
      </c>
      <c r="Y123" s="255" t="str">
        <f>IF((A123="")*(B123=""),"",IF(ISERROR(MATCH(E123,WKNrListe,0)),"WK falsch",LOOKUP(E123,WKNrListe,Übersicht!$B$7:$B$46)))</f>
        <v/>
      </c>
      <c r="Z123" s="269" t="str">
        <f>IF(((AJ123=0)*(AH123&lt;&gt;"")*(AK123="-"))+((AJ123&lt;&gt;0)*(AH123&lt;&gt;"")*(AK123="-")),IF(AG123="X",Übersicht!$C$70,Übersicht!$C$69),"-")</f>
        <v>-</v>
      </c>
      <c r="AA123" s="252" t="str">
        <f>IF((($A123="")*($B123=""))+((MID($Y123,1,4)&lt;&gt;"Wahl")*(Deckblatt!$C$14='WK-Vorlagen'!$C$82))+(Deckblatt!$C$14&lt;&gt;'WK-Vorlagen'!$C$82),"",IF(ISERROR(MATCH(VALUE(MID(G123,1,2)),Schwierigkeitsstufen!$G$7:$G$19,0)),"Gerät falsch",LOOKUP(VALUE(MID(G123,1,2)),Schwierigkeitsstufen!$G$7:$G$19,Schwierigkeitsstufen!$H$7:$H$19)))</f>
        <v/>
      </c>
      <c r="AB123" s="250" t="str">
        <f>IF((($A123="")*($B123=""))+((MID($Y123,1,4)&lt;&gt;"Wahl")*(Deckblatt!$C$14='WK-Vorlagen'!$C$82))+(Deckblatt!$C$14&lt;&gt;'WK-Vorlagen'!$C$82),"",IF(ISERROR(MATCH(VALUE(MID(H123,1,2)),Schwierigkeitsstufen!$G$7:$G$19,0)),"Gerät falsch",LOOKUP(VALUE(MID(H123,1,2)),Schwierigkeitsstufen!$G$7:$G$19,Schwierigkeitsstufen!$H$7:$H$19)))</f>
        <v/>
      </c>
      <c r="AC123" s="250" t="str">
        <f>IF((($A123="")*($B123=""))+((MID($Y123,1,4)&lt;&gt;"Wahl")*(Deckblatt!$C$14='WK-Vorlagen'!$C$82))+(Deckblatt!$C$14&lt;&gt;'WK-Vorlagen'!$C$82),"",IF(ISERROR(MATCH(VALUE(MID(I123,1,2)),Schwierigkeitsstufen!$G$7:$G$19,0)),"Gerät falsch",LOOKUP(VALUE(MID(I123,1,2)),Schwierigkeitsstufen!$G$7:$G$19,Schwierigkeitsstufen!$H$7:$H$19)))</f>
        <v/>
      </c>
      <c r="AD123" s="251" t="str">
        <f>IF((($A123="")*($B123=""))+((MID($Y123,1,4)&lt;&gt;"Wahl")*(Deckblatt!$C$14='WK-Vorlagen'!$C$82))+(Deckblatt!$C$14&lt;&gt;'WK-Vorlagen'!$C$82),"",IF(ISERROR(MATCH(VALUE(MID(J123,1,2)),Schwierigkeitsstufen!$G$7:$G$19,0)),"Gerät falsch",LOOKUP(VALUE(MID(J123,1,2)),Schwierigkeitsstufen!$G$7:$G$19,Schwierigkeitsstufen!$H$7:$H$19)))</f>
        <v/>
      </c>
      <c r="AE123" s="211"/>
      <c r="AG123" s="221" t="str">
        <f t="shared" si="9"/>
        <v/>
      </c>
      <c r="AH123" s="222" t="str">
        <f t="shared" si="11"/>
        <v/>
      </c>
      <c r="AI123" s="220">
        <f t="shared" si="16"/>
        <v>4</v>
      </c>
      <c r="AJ123" s="222">
        <f t="shared" si="12"/>
        <v>0</v>
      </c>
      <c r="AK123" s="299" t="str">
        <f>IF(ISERROR(LOOKUP(E123,WKNrListe,Übersicht!$R$7:$R$46)),"-",LOOKUP(E123,WKNrListe,Übersicht!$R$7:$R$46))</f>
        <v>-</v>
      </c>
      <c r="AL123" s="299" t="str">
        <f t="shared" si="15"/>
        <v>-</v>
      </c>
      <c r="AM123" s="303"/>
      <c r="AN123" s="174" t="str">
        <f t="shared" si="17"/>
        <v>Leer</v>
      </c>
    </row>
    <row r="124" spans="1:40" s="174" customFormat="1" ht="15" customHeight="1">
      <c r="A124" s="63"/>
      <c r="B124" s="63"/>
      <c r="C124" s="84"/>
      <c r="D124" s="85"/>
      <c r="E124" s="62"/>
      <c r="F124" s="62"/>
      <c r="G124" s="62"/>
      <c r="H124" s="62"/>
      <c r="I124" s="62"/>
      <c r="J124" s="62"/>
      <c r="K124" s="62"/>
      <c r="L124" s="62"/>
      <c r="M124" s="62"/>
      <c r="N124" s="62"/>
      <c r="O124" s="62"/>
      <c r="P124" s="62"/>
      <c r="Q124" s="62"/>
      <c r="R124" s="62"/>
      <c r="S124" s="258"/>
      <c r="T124" s="248" t="str">
        <f t="shared" si="13"/>
        <v/>
      </c>
      <c r="U124" s="249" t="str">
        <f t="shared" si="14"/>
        <v/>
      </c>
      <c r="V124" s="294" t="str">
        <f t="shared" si="10"/>
        <v/>
      </c>
      <c r="W124" s="294" t="str">
        <f>IF(((E124="")+(F124="")),"",IF(VLOOKUP(F124,Mannschaften!$A$1:$B$54,2,FALSE)&lt;&gt;E124,"Reiter Mannschaften füllen",""))</f>
        <v/>
      </c>
      <c r="X124" s="248" t="str">
        <f>IF(ISBLANK(C124),"",IF((U124&gt;(LOOKUP(E124,WKNrListe,Übersicht!$O$7:$O$46)))+(U124&lt;(LOOKUP(E124,WKNrListe,Übersicht!$P$7:$P$46))),"JG falsch",""))</f>
        <v/>
      </c>
      <c r="Y124" s="255" t="str">
        <f>IF((A124="")*(B124=""),"",IF(ISERROR(MATCH(E124,WKNrListe,0)),"WK falsch",LOOKUP(E124,WKNrListe,Übersicht!$B$7:$B$46)))</f>
        <v/>
      </c>
      <c r="Z124" s="269" t="str">
        <f>IF(((AJ124=0)*(AH124&lt;&gt;"")*(AK124="-"))+((AJ124&lt;&gt;0)*(AH124&lt;&gt;"")*(AK124="-")),IF(AG124="X",Übersicht!$C$70,Übersicht!$C$69),"-")</f>
        <v>-</v>
      </c>
      <c r="AA124" s="252" t="str">
        <f>IF((($A124="")*($B124=""))+((MID($Y124,1,4)&lt;&gt;"Wahl")*(Deckblatt!$C$14='WK-Vorlagen'!$C$82))+(Deckblatt!$C$14&lt;&gt;'WK-Vorlagen'!$C$82),"",IF(ISERROR(MATCH(VALUE(MID(G124,1,2)),Schwierigkeitsstufen!$G$7:$G$19,0)),"Gerät falsch",LOOKUP(VALUE(MID(G124,1,2)),Schwierigkeitsstufen!$G$7:$G$19,Schwierigkeitsstufen!$H$7:$H$19)))</f>
        <v/>
      </c>
      <c r="AB124" s="250" t="str">
        <f>IF((($A124="")*($B124=""))+((MID($Y124,1,4)&lt;&gt;"Wahl")*(Deckblatt!$C$14='WK-Vorlagen'!$C$82))+(Deckblatt!$C$14&lt;&gt;'WK-Vorlagen'!$C$82),"",IF(ISERROR(MATCH(VALUE(MID(H124,1,2)),Schwierigkeitsstufen!$G$7:$G$19,0)),"Gerät falsch",LOOKUP(VALUE(MID(H124,1,2)),Schwierigkeitsstufen!$G$7:$G$19,Schwierigkeitsstufen!$H$7:$H$19)))</f>
        <v/>
      </c>
      <c r="AC124" s="250" t="str">
        <f>IF((($A124="")*($B124=""))+((MID($Y124,1,4)&lt;&gt;"Wahl")*(Deckblatt!$C$14='WK-Vorlagen'!$C$82))+(Deckblatt!$C$14&lt;&gt;'WK-Vorlagen'!$C$82),"",IF(ISERROR(MATCH(VALUE(MID(I124,1,2)),Schwierigkeitsstufen!$G$7:$G$19,0)),"Gerät falsch",LOOKUP(VALUE(MID(I124,1,2)),Schwierigkeitsstufen!$G$7:$G$19,Schwierigkeitsstufen!$H$7:$H$19)))</f>
        <v/>
      </c>
      <c r="AD124" s="251" t="str">
        <f>IF((($A124="")*($B124=""))+((MID($Y124,1,4)&lt;&gt;"Wahl")*(Deckblatt!$C$14='WK-Vorlagen'!$C$82))+(Deckblatt!$C$14&lt;&gt;'WK-Vorlagen'!$C$82),"",IF(ISERROR(MATCH(VALUE(MID(J124,1,2)),Schwierigkeitsstufen!$G$7:$G$19,0)),"Gerät falsch",LOOKUP(VALUE(MID(J124,1,2)),Schwierigkeitsstufen!$G$7:$G$19,Schwierigkeitsstufen!$H$7:$H$19)))</f>
        <v/>
      </c>
      <c r="AE124" s="211"/>
      <c r="AG124" s="221" t="str">
        <f t="shared" si="9"/>
        <v/>
      </c>
      <c r="AH124" s="222" t="str">
        <f t="shared" si="11"/>
        <v/>
      </c>
      <c r="AI124" s="220">
        <f t="shared" si="16"/>
        <v>4</v>
      </c>
      <c r="AJ124" s="222">
        <f t="shared" si="12"/>
        <v>0</v>
      </c>
      <c r="AK124" s="299" t="str">
        <f>IF(ISERROR(LOOKUP(E124,WKNrListe,Übersicht!$R$7:$R$46)),"-",LOOKUP(E124,WKNrListe,Übersicht!$R$7:$R$46))</f>
        <v>-</v>
      </c>
      <c r="AL124" s="299" t="str">
        <f t="shared" si="15"/>
        <v>-</v>
      </c>
      <c r="AM124" s="303"/>
      <c r="AN124" s="174" t="str">
        <f t="shared" si="17"/>
        <v>Leer</v>
      </c>
    </row>
    <row r="125" spans="1:40" s="174" customFormat="1" ht="15" customHeight="1">
      <c r="A125" s="63"/>
      <c r="B125" s="63"/>
      <c r="C125" s="84"/>
      <c r="D125" s="85"/>
      <c r="E125" s="62"/>
      <c r="F125" s="62"/>
      <c r="G125" s="62"/>
      <c r="H125" s="62"/>
      <c r="I125" s="62"/>
      <c r="J125" s="62"/>
      <c r="K125" s="62"/>
      <c r="L125" s="62"/>
      <c r="M125" s="62"/>
      <c r="N125" s="62"/>
      <c r="O125" s="62"/>
      <c r="P125" s="62"/>
      <c r="Q125" s="62"/>
      <c r="R125" s="62"/>
      <c r="S125" s="258"/>
      <c r="T125" s="248" t="str">
        <f t="shared" si="13"/>
        <v/>
      </c>
      <c r="U125" s="249" t="str">
        <f t="shared" si="14"/>
        <v/>
      </c>
      <c r="V125" s="294" t="str">
        <f t="shared" si="10"/>
        <v/>
      </c>
      <c r="W125" s="294" t="str">
        <f>IF(((E125="")+(F125="")),"",IF(VLOOKUP(F125,Mannschaften!$A$1:$B$54,2,FALSE)&lt;&gt;E125,"Reiter Mannschaften füllen",""))</f>
        <v/>
      </c>
      <c r="X125" s="248" t="str">
        <f>IF(ISBLANK(C125),"",IF((U125&gt;(LOOKUP(E125,WKNrListe,Übersicht!$O$7:$O$46)))+(U125&lt;(LOOKUP(E125,WKNrListe,Übersicht!$P$7:$P$46))),"JG falsch",""))</f>
        <v/>
      </c>
      <c r="Y125" s="255" t="str">
        <f>IF((A125="")*(B125=""),"",IF(ISERROR(MATCH(E125,WKNrListe,0)),"WK falsch",LOOKUP(E125,WKNrListe,Übersicht!$B$7:$B$46)))</f>
        <v/>
      </c>
      <c r="Z125" s="269" t="str">
        <f>IF(((AJ125=0)*(AH125&lt;&gt;"")*(AK125="-"))+((AJ125&lt;&gt;0)*(AH125&lt;&gt;"")*(AK125="-")),IF(AG125="X",Übersicht!$C$70,Übersicht!$C$69),"-")</f>
        <v>-</v>
      </c>
      <c r="AA125" s="252" t="str">
        <f>IF((($A125="")*($B125=""))+((MID($Y125,1,4)&lt;&gt;"Wahl")*(Deckblatt!$C$14='WK-Vorlagen'!$C$82))+(Deckblatt!$C$14&lt;&gt;'WK-Vorlagen'!$C$82),"",IF(ISERROR(MATCH(VALUE(MID(G125,1,2)),Schwierigkeitsstufen!$G$7:$G$19,0)),"Gerät falsch",LOOKUP(VALUE(MID(G125,1,2)),Schwierigkeitsstufen!$G$7:$G$19,Schwierigkeitsstufen!$H$7:$H$19)))</f>
        <v/>
      </c>
      <c r="AB125" s="250" t="str">
        <f>IF((($A125="")*($B125=""))+((MID($Y125,1,4)&lt;&gt;"Wahl")*(Deckblatt!$C$14='WK-Vorlagen'!$C$82))+(Deckblatt!$C$14&lt;&gt;'WK-Vorlagen'!$C$82),"",IF(ISERROR(MATCH(VALUE(MID(H125,1,2)),Schwierigkeitsstufen!$G$7:$G$19,0)),"Gerät falsch",LOOKUP(VALUE(MID(H125,1,2)),Schwierigkeitsstufen!$G$7:$G$19,Schwierigkeitsstufen!$H$7:$H$19)))</f>
        <v/>
      </c>
      <c r="AC125" s="250" t="str">
        <f>IF((($A125="")*($B125=""))+((MID($Y125,1,4)&lt;&gt;"Wahl")*(Deckblatt!$C$14='WK-Vorlagen'!$C$82))+(Deckblatt!$C$14&lt;&gt;'WK-Vorlagen'!$C$82),"",IF(ISERROR(MATCH(VALUE(MID(I125,1,2)),Schwierigkeitsstufen!$G$7:$G$19,0)),"Gerät falsch",LOOKUP(VALUE(MID(I125,1,2)),Schwierigkeitsstufen!$G$7:$G$19,Schwierigkeitsstufen!$H$7:$H$19)))</f>
        <v/>
      </c>
      <c r="AD125" s="251" t="str">
        <f>IF((($A125="")*($B125=""))+((MID($Y125,1,4)&lt;&gt;"Wahl")*(Deckblatt!$C$14='WK-Vorlagen'!$C$82))+(Deckblatt!$C$14&lt;&gt;'WK-Vorlagen'!$C$82),"",IF(ISERROR(MATCH(VALUE(MID(J125,1,2)),Schwierigkeitsstufen!$G$7:$G$19,0)),"Gerät falsch",LOOKUP(VALUE(MID(J125,1,2)),Schwierigkeitsstufen!$G$7:$G$19,Schwierigkeitsstufen!$H$7:$H$19)))</f>
        <v/>
      </c>
      <c r="AE125" s="211"/>
      <c r="AG125" s="221" t="str">
        <f t="shared" si="9"/>
        <v/>
      </c>
      <c r="AH125" s="222" t="str">
        <f t="shared" si="11"/>
        <v/>
      </c>
      <c r="AI125" s="220">
        <f t="shared" si="16"/>
        <v>4</v>
      </c>
      <c r="AJ125" s="222">
        <f t="shared" si="12"/>
        <v>0</v>
      </c>
      <c r="AK125" s="299" t="str">
        <f>IF(ISERROR(LOOKUP(E125,WKNrListe,Übersicht!$R$7:$R$46)),"-",LOOKUP(E125,WKNrListe,Übersicht!$R$7:$R$46))</f>
        <v>-</v>
      </c>
      <c r="AL125" s="299" t="str">
        <f t="shared" si="15"/>
        <v>-</v>
      </c>
      <c r="AM125" s="303"/>
      <c r="AN125" s="174" t="str">
        <f t="shared" si="17"/>
        <v>Leer</v>
      </c>
    </row>
    <row r="126" spans="1:40" s="174" customFormat="1" ht="15" customHeight="1">
      <c r="A126" s="63"/>
      <c r="B126" s="63"/>
      <c r="C126" s="84"/>
      <c r="D126" s="85"/>
      <c r="E126" s="62"/>
      <c r="F126" s="62"/>
      <c r="G126" s="62"/>
      <c r="H126" s="62"/>
      <c r="I126" s="62"/>
      <c r="J126" s="62"/>
      <c r="K126" s="62"/>
      <c r="L126" s="62"/>
      <c r="M126" s="62"/>
      <c r="N126" s="62"/>
      <c r="O126" s="62"/>
      <c r="P126" s="62"/>
      <c r="Q126" s="62"/>
      <c r="R126" s="62"/>
      <c r="S126" s="258"/>
      <c r="T126" s="248" t="str">
        <f t="shared" si="13"/>
        <v/>
      </c>
      <c r="U126" s="249" t="str">
        <f t="shared" si="14"/>
        <v/>
      </c>
      <c r="V126" s="294" t="str">
        <f t="shared" si="10"/>
        <v/>
      </c>
      <c r="W126" s="294" t="str">
        <f>IF(((E126="")+(F126="")),"",IF(VLOOKUP(F126,Mannschaften!$A$1:$B$54,2,FALSE)&lt;&gt;E126,"Reiter Mannschaften füllen",""))</f>
        <v/>
      </c>
      <c r="X126" s="248" t="str">
        <f>IF(ISBLANK(C126),"",IF((U126&gt;(LOOKUP(E126,WKNrListe,Übersicht!$O$7:$O$46)))+(U126&lt;(LOOKUP(E126,WKNrListe,Übersicht!$P$7:$P$46))),"JG falsch",""))</f>
        <v/>
      </c>
      <c r="Y126" s="255" t="str">
        <f>IF((A126="")*(B126=""),"",IF(ISERROR(MATCH(E126,WKNrListe,0)),"WK falsch",LOOKUP(E126,WKNrListe,Übersicht!$B$7:$B$46)))</f>
        <v/>
      </c>
      <c r="Z126" s="269" t="str">
        <f>IF(((AJ126=0)*(AH126&lt;&gt;"")*(AK126="-"))+((AJ126&lt;&gt;0)*(AH126&lt;&gt;"")*(AK126="-")),IF(AG126="X",Übersicht!$C$70,Übersicht!$C$69),"-")</f>
        <v>-</v>
      </c>
      <c r="AA126" s="252" t="str">
        <f>IF((($A126="")*($B126=""))+((MID($Y126,1,4)&lt;&gt;"Wahl")*(Deckblatt!$C$14='WK-Vorlagen'!$C$82))+(Deckblatt!$C$14&lt;&gt;'WK-Vorlagen'!$C$82),"",IF(ISERROR(MATCH(VALUE(MID(G126,1,2)),Schwierigkeitsstufen!$G$7:$G$19,0)),"Gerät falsch",LOOKUP(VALUE(MID(G126,1,2)),Schwierigkeitsstufen!$G$7:$G$19,Schwierigkeitsstufen!$H$7:$H$19)))</f>
        <v/>
      </c>
      <c r="AB126" s="250" t="str">
        <f>IF((($A126="")*($B126=""))+((MID($Y126,1,4)&lt;&gt;"Wahl")*(Deckblatt!$C$14='WK-Vorlagen'!$C$82))+(Deckblatt!$C$14&lt;&gt;'WK-Vorlagen'!$C$82),"",IF(ISERROR(MATCH(VALUE(MID(H126,1,2)),Schwierigkeitsstufen!$G$7:$G$19,0)),"Gerät falsch",LOOKUP(VALUE(MID(H126,1,2)),Schwierigkeitsstufen!$G$7:$G$19,Schwierigkeitsstufen!$H$7:$H$19)))</f>
        <v/>
      </c>
      <c r="AC126" s="250" t="str">
        <f>IF((($A126="")*($B126=""))+((MID($Y126,1,4)&lt;&gt;"Wahl")*(Deckblatt!$C$14='WK-Vorlagen'!$C$82))+(Deckblatt!$C$14&lt;&gt;'WK-Vorlagen'!$C$82),"",IF(ISERROR(MATCH(VALUE(MID(I126,1,2)),Schwierigkeitsstufen!$G$7:$G$19,0)),"Gerät falsch",LOOKUP(VALUE(MID(I126,1,2)),Schwierigkeitsstufen!$G$7:$G$19,Schwierigkeitsstufen!$H$7:$H$19)))</f>
        <v/>
      </c>
      <c r="AD126" s="251" t="str">
        <f>IF((($A126="")*($B126=""))+((MID($Y126,1,4)&lt;&gt;"Wahl")*(Deckblatt!$C$14='WK-Vorlagen'!$C$82))+(Deckblatt!$C$14&lt;&gt;'WK-Vorlagen'!$C$82),"",IF(ISERROR(MATCH(VALUE(MID(J126,1,2)),Schwierigkeitsstufen!$G$7:$G$19,0)),"Gerät falsch",LOOKUP(VALUE(MID(J126,1,2)),Schwierigkeitsstufen!$G$7:$G$19,Schwierigkeitsstufen!$H$7:$H$19)))</f>
        <v/>
      </c>
      <c r="AE126" s="211"/>
      <c r="AG126" s="221" t="str">
        <f t="shared" si="9"/>
        <v/>
      </c>
      <c r="AH126" s="222" t="str">
        <f t="shared" si="11"/>
        <v/>
      </c>
      <c r="AI126" s="220">
        <f t="shared" si="16"/>
        <v>4</v>
      </c>
      <c r="AJ126" s="222">
        <f t="shared" si="12"/>
        <v>0</v>
      </c>
      <c r="AK126" s="299" t="str">
        <f>IF(ISERROR(LOOKUP(E126,WKNrListe,Übersicht!$R$7:$R$46)),"-",LOOKUP(E126,WKNrListe,Übersicht!$R$7:$R$46))</f>
        <v>-</v>
      </c>
      <c r="AL126" s="299" t="str">
        <f t="shared" si="15"/>
        <v>-</v>
      </c>
      <c r="AM126" s="303"/>
      <c r="AN126" s="174" t="str">
        <f t="shared" si="17"/>
        <v>Leer</v>
      </c>
    </row>
    <row r="127" spans="1:40" s="174" customFormat="1" ht="15" customHeight="1">
      <c r="A127" s="63"/>
      <c r="B127" s="63"/>
      <c r="C127" s="84"/>
      <c r="D127" s="85"/>
      <c r="E127" s="62"/>
      <c r="F127" s="62"/>
      <c r="G127" s="62"/>
      <c r="H127" s="62"/>
      <c r="I127" s="62"/>
      <c r="J127" s="62"/>
      <c r="K127" s="62"/>
      <c r="L127" s="62"/>
      <c r="M127" s="62"/>
      <c r="N127" s="62"/>
      <c r="O127" s="62"/>
      <c r="P127" s="62"/>
      <c r="Q127" s="62"/>
      <c r="R127" s="62"/>
      <c r="S127" s="258"/>
      <c r="T127" s="248" t="str">
        <f t="shared" si="13"/>
        <v/>
      </c>
      <c r="U127" s="249" t="str">
        <f t="shared" si="14"/>
        <v/>
      </c>
      <c r="V127" s="294" t="str">
        <f t="shared" si="10"/>
        <v/>
      </c>
      <c r="W127" s="294" t="str">
        <f>IF(((E127="")+(F127="")),"",IF(VLOOKUP(F127,Mannschaften!$A$1:$B$54,2,FALSE)&lt;&gt;E127,"Reiter Mannschaften füllen",""))</f>
        <v/>
      </c>
      <c r="X127" s="248" t="str">
        <f>IF(ISBLANK(C127),"",IF((U127&gt;(LOOKUP(E127,WKNrListe,Übersicht!$O$7:$O$46)))+(U127&lt;(LOOKUP(E127,WKNrListe,Übersicht!$P$7:$P$46))),"JG falsch",""))</f>
        <v/>
      </c>
      <c r="Y127" s="255" t="str">
        <f>IF((A127="")*(B127=""),"",IF(ISERROR(MATCH(E127,WKNrListe,0)),"WK falsch",LOOKUP(E127,WKNrListe,Übersicht!$B$7:$B$46)))</f>
        <v/>
      </c>
      <c r="Z127" s="269" t="str">
        <f>IF(((AJ127=0)*(AH127&lt;&gt;"")*(AK127="-"))+((AJ127&lt;&gt;0)*(AH127&lt;&gt;"")*(AK127="-")),IF(AG127="X",Übersicht!$C$70,Übersicht!$C$69),"-")</f>
        <v>-</v>
      </c>
      <c r="AA127" s="252" t="str">
        <f>IF((($A127="")*($B127=""))+((MID($Y127,1,4)&lt;&gt;"Wahl")*(Deckblatt!$C$14='WK-Vorlagen'!$C$82))+(Deckblatt!$C$14&lt;&gt;'WK-Vorlagen'!$C$82),"",IF(ISERROR(MATCH(VALUE(MID(G127,1,2)),Schwierigkeitsstufen!$G$7:$G$19,0)),"Gerät falsch",LOOKUP(VALUE(MID(G127,1,2)),Schwierigkeitsstufen!$G$7:$G$19,Schwierigkeitsstufen!$H$7:$H$19)))</f>
        <v/>
      </c>
      <c r="AB127" s="250" t="str">
        <f>IF((($A127="")*($B127=""))+((MID($Y127,1,4)&lt;&gt;"Wahl")*(Deckblatt!$C$14='WK-Vorlagen'!$C$82))+(Deckblatt!$C$14&lt;&gt;'WK-Vorlagen'!$C$82),"",IF(ISERROR(MATCH(VALUE(MID(H127,1,2)),Schwierigkeitsstufen!$G$7:$G$19,0)),"Gerät falsch",LOOKUP(VALUE(MID(H127,1,2)),Schwierigkeitsstufen!$G$7:$G$19,Schwierigkeitsstufen!$H$7:$H$19)))</f>
        <v/>
      </c>
      <c r="AC127" s="250" t="str">
        <f>IF((($A127="")*($B127=""))+((MID($Y127,1,4)&lt;&gt;"Wahl")*(Deckblatt!$C$14='WK-Vorlagen'!$C$82))+(Deckblatt!$C$14&lt;&gt;'WK-Vorlagen'!$C$82),"",IF(ISERROR(MATCH(VALUE(MID(I127,1,2)),Schwierigkeitsstufen!$G$7:$G$19,0)),"Gerät falsch",LOOKUP(VALUE(MID(I127,1,2)),Schwierigkeitsstufen!$G$7:$G$19,Schwierigkeitsstufen!$H$7:$H$19)))</f>
        <v/>
      </c>
      <c r="AD127" s="251" t="str">
        <f>IF((($A127="")*($B127=""))+((MID($Y127,1,4)&lt;&gt;"Wahl")*(Deckblatt!$C$14='WK-Vorlagen'!$C$82))+(Deckblatt!$C$14&lt;&gt;'WK-Vorlagen'!$C$82),"",IF(ISERROR(MATCH(VALUE(MID(J127,1,2)),Schwierigkeitsstufen!$G$7:$G$19,0)),"Gerät falsch",LOOKUP(VALUE(MID(J127,1,2)),Schwierigkeitsstufen!$G$7:$G$19,Schwierigkeitsstufen!$H$7:$H$19)))</f>
        <v/>
      </c>
      <c r="AE127" s="211"/>
      <c r="AG127" s="221" t="str">
        <f t="shared" si="9"/>
        <v/>
      </c>
      <c r="AH127" s="222" t="str">
        <f t="shared" si="11"/>
        <v/>
      </c>
      <c r="AI127" s="220">
        <f t="shared" si="16"/>
        <v>4</v>
      </c>
      <c r="AJ127" s="222">
        <f t="shared" si="12"/>
        <v>0</v>
      </c>
      <c r="AK127" s="299" t="str">
        <f>IF(ISERROR(LOOKUP(E127,WKNrListe,Übersicht!$R$7:$R$46)),"-",LOOKUP(E127,WKNrListe,Übersicht!$R$7:$R$46))</f>
        <v>-</v>
      </c>
      <c r="AL127" s="299" t="str">
        <f t="shared" si="15"/>
        <v>-</v>
      </c>
      <c r="AM127" s="303"/>
      <c r="AN127" s="174" t="str">
        <f t="shared" si="17"/>
        <v>Leer</v>
      </c>
    </row>
    <row r="128" spans="1:40" s="174" customFormat="1" ht="15" customHeight="1">
      <c r="A128" s="63"/>
      <c r="B128" s="63"/>
      <c r="C128" s="84"/>
      <c r="D128" s="85"/>
      <c r="E128" s="62"/>
      <c r="F128" s="62"/>
      <c r="G128" s="62"/>
      <c r="H128" s="62"/>
      <c r="I128" s="62"/>
      <c r="J128" s="62"/>
      <c r="K128" s="62"/>
      <c r="L128" s="62"/>
      <c r="M128" s="62"/>
      <c r="N128" s="62"/>
      <c r="O128" s="62"/>
      <c r="P128" s="62"/>
      <c r="Q128" s="62"/>
      <c r="R128" s="62"/>
      <c r="S128" s="258"/>
      <c r="T128" s="248" t="str">
        <f t="shared" si="13"/>
        <v/>
      </c>
      <c r="U128" s="249" t="str">
        <f t="shared" si="14"/>
        <v/>
      </c>
      <c r="V128" s="294" t="str">
        <f t="shared" si="10"/>
        <v/>
      </c>
      <c r="W128" s="294" t="str">
        <f>IF(((E128="")+(F128="")),"",IF(VLOOKUP(F128,Mannschaften!$A$1:$B$54,2,FALSE)&lt;&gt;E128,"Reiter Mannschaften füllen",""))</f>
        <v/>
      </c>
      <c r="X128" s="248" t="str">
        <f>IF(ISBLANK(C128),"",IF((U128&gt;(LOOKUP(E128,WKNrListe,Übersicht!$O$7:$O$46)))+(U128&lt;(LOOKUP(E128,WKNrListe,Übersicht!$P$7:$P$46))),"JG falsch",""))</f>
        <v/>
      </c>
      <c r="Y128" s="255" t="str">
        <f>IF((A128="")*(B128=""),"",IF(ISERROR(MATCH(E128,WKNrListe,0)),"WK falsch",LOOKUP(E128,WKNrListe,Übersicht!$B$7:$B$46)))</f>
        <v/>
      </c>
      <c r="Z128" s="269" t="str">
        <f>IF(((AJ128=0)*(AH128&lt;&gt;"")*(AK128="-"))+((AJ128&lt;&gt;0)*(AH128&lt;&gt;"")*(AK128="-")),IF(AG128="X",Übersicht!$C$70,Übersicht!$C$69),"-")</f>
        <v>-</v>
      </c>
      <c r="AA128" s="252" t="str">
        <f>IF((($A128="")*($B128=""))+((MID($Y128,1,4)&lt;&gt;"Wahl")*(Deckblatt!$C$14='WK-Vorlagen'!$C$82))+(Deckblatt!$C$14&lt;&gt;'WK-Vorlagen'!$C$82),"",IF(ISERROR(MATCH(VALUE(MID(G128,1,2)),Schwierigkeitsstufen!$G$7:$G$19,0)),"Gerät falsch",LOOKUP(VALUE(MID(G128,1,2)),Schwierigkeitsstufen!$G$7:$G$19,Schwierigkeitsstufen!$H$7:$H$19)))</f>
        <v/>
      </c>
      <c r="AB128" s="250" t="str">
        <f>IF((($A128="")*($B128=""))+((MID($Y128,1,4)&lt;&gt;"Wahl")*(Deckblatt!$C$14='WK-Vorlagen'!$C$82))+(Deckblatt!$C$14&lt;&gt;'WK-Vorlagen'!$C$82),"",IF(ISERROR(MATCH(VALUE(MID(H128,1,2)),Schwierigkeitsstufen!$G$7:$G$19,0)),"Gerät falsch",LOOKUP(VALUE(MID(H128,1,2)),Schwierigkeitsstufen!$G$7:$G$19,Schwierigkeitsstufen!$H$7:$H$19)))</f>
        <v/>
      </c>
      <c r="AC128" s="250" t="str">
        <f>IF((($A128="")*($B128=""))+((MID($Y128,1,4)&lt;&gt;"Wahl")*(Deckblatt!$C$14='WK-Vorlagen'!$C$82))+(Deckblatt!$C$14&lt;&gt;'WK-Vorlagen'!$C$82),"",IF(ISERROR(MATCH(VALUE(MID(I128,1,2)),Schwierigkeitsstufen!$G$7:$G$19,0)),"Gerät falsch",LOOKUP(VALUE(MID(I128,1,2)),Schwierigkeitsstufen!$G$7:$G$19,Schwierigkeitsstufen!$H$7:$H$19)))</f>
        <v/>
      </c>
      <c r="AD128" s="251" t="str">
        <f>IF((($A128="")*($B128=""))+((MID($Y128,1,4)&lt;&gt;"Wahl")*(Deckblatt!$C$14='WK-Vorlagen'!$C$82))+(Deckblatt!$C$14&lt;&gt;'WK-Vorlagen'!$C$82),"",IF(ISERROR(MATCH(VALUE(MID(J128,1,2)),Schwierigkeitsstufen!$G$7:$G$19,0)),"Gerät falsch",LOOKUP(VALUE(MID(J128,1,2)),Schwierigkeitsstufen!$G$7:$G$19,Schwierigkeitsstufen!$H$7:$H$19)))</f>
        <v/>
      </c>
      <c r="AE128" s="211"/>
      <c r="AG128" s="221" t="str">
        <f t="shared" si="9"/>
        <v/>
      </c>
      <c r="AH128" s="222" t="str">
        <f t="shared" si="11"/>
        <v/>
      </c>
      <c r="AI128" s="220">
        <f t="shared" si="16"/>
        <v>4</v>
      </c>
      <c r="AJ128" s="222">
        <f t="shared" si="12"/>
        <v>0</v>
      </c>
      <c r="AK128" s="299" t="str">
        <f>IF(ISERROR(LOOKUP(E128,WKNrListe,Übersicht!$R$7:$R$46)),"-",LOOKUP(E128,WKNrListe,Übersicht!$R$7:$R$46))</f>
        <v>-</v>
      </c>
      <c r="AL128" s="299" t="str">
        <f t="shared" si="15"/>
        <v>-</v>
      </c>
      <c r="AM128" s="303"/>
      <c r="AN128" s="174" t="str">
        <f t="shared" si="17"/>
        <v>Leer</v>
      </c>
    </row>
    <row r="129" spans="1:40" s="174" customFormat="1" ht="15" customHeight="1">
      <c r="A129" s="63"/>
      <c r="B129" s="63"/>
      <c r="C129" s="84"/>
      <c r="D129" s="85"/>
      <c r="E129" s="62"/>
      <c r="F129" s="62"/>
      <c r="G129" s="62"/>
      <c r="H129" s="62"/>
      <c r="I129" s="62"/>
      <c r="J129" s="62"/>
      <c r="K129" s="62"/>
      <c r="L129" s="62"/>
      <c r="M129" s="62"/>
      <c r="N129" s="62"/>
      <c r="O129" s="62"/>
      <c r="P129" s="62"/>
      <c r="Q129" s="62"/>
      <c r="R129" s="62"/>
      <c r="S129" s="258"/>
      <c r="T129" s="248" t="str">
        <f t="shared" si="13"/>
        <v/>
      </c>
      <c r="U129" s="249" t="str">
        <f t="shared" si="14"/>
        <v/>
      </c>
      <c r="V129" s="294" t="str">
        <f t="shared" si="10"/>
        <v/>
      </c>
      <c r="W129" s="294" t="str">
        <f>IF(((E129="")+(F129="")),"",IF(VLOOKUP(F129,Mannschaften!$A$1:$B$54,2,FALSE)&lt;&gt;E129,"Reiter Mannschaften füllen",""))</f>
        <v/>
      </c>
      <c r="X129" s="248" t="str">
        <f>IF(ISBLANK(C129),"",IF((U129&gt;(LOOKUP(E129,WKNrListe,Übersicht!$O$7:$O$46)))+(U129&lt;(LOOKUP(E129,WKNrListe,Übersicht!$P$7:$P$46))),"JG falsch",""))</f>
        <v/>
      </c>
      <c r="Y129" s="255" t="str">
        <f>IF((A129="")*(B129=""),"",IF(ISERROR(MATCH(E129,WKNrListe,0)),"WK falsch",LOOKUP(E129,WKNrListe,Übersicht!$B$7:$B$46)))</f>
        <v/>
      </c>
      <c r="Z129" s="269" t="str">
        <f>IF(((AJ129=0)*(AH129&lt;&gt;"")*(AK129="-"))+((AJ129&lt;&gt;0)*(AH129&lt;&gt;"")*(AK129="-")),IF(AG129="X",Übersicht!$C$70,Übersicht!$C$69),"-")</f>
        <v>-</v>
      </c>
      <c r="AA129" s="252" t="str">
        <f>IF((($A129="")*($B129=""))+((MID($Y129,1,4)&lt;&gt;"Wahl")*(Deckblatt!$C$14='WK-Vorlagen'!$C$82))+(Deckblatt!$C$14&lt;&gt;'WK-Vorlagen'!$C$82),"",IF(ISERROR(MATCH(VALUE(MID(G129,1,2)),Schwierigkeitsstufen!$G$7:$G$19,0)),"Gerät falsch",LOOKUP(VALUE(MID(G129,1,2)),Schwierigkeitsstufen!$G$7:$G$19,Schwierigkeitsstufen!$H$7:$H$19)))</f>
        <v/>
      </c>
      <c r="AB129" s="250" t="str">
        <f>IF((($A129="")*($B129=""))+((MID($Y129,1,4)&lt;&gt;"Wahl")*(Deckblatt!$C$14='WK-Vorlagen'!$C$82))+(Deckblatt!$C$14&lt;&gt;'WK-Vorlagen'!$C$82),"",IF(ISERROR(MATCH(VALUE(MID(H129,1,2)),Schwierigkeitsstufen!$G$7:$G$19,0)),"Gerät falsch",LOOKUP(VALUE(MID(H129,1,2)),Schwierigkeitsstufen!$G$7:$G$19,Schwierigkeitsstufen!$H$7:$H$19)))</f>
        <v/>
      </c>
      <c r="AC129" s="250" t="str">
        <f>IF((($A129="")*($B129=""))+((MID($Y129,1,4)&lt;&gt;"Wahl")*(Deckblatt!$C$14='WK-Vorlagen'!$C$82))+(Deckblatt!$C$14&lt;&gt;'WK-Vorlagen'!$C$82),"",IF(ISERROR(MATCH(VALUE(MID(I129,1,2)),Schwierigkeitsstufen!$G$7:$G$19,0)),"Gerät falsch",LOOKUP(VALUE(MID(I129,1,2)),Schwierigkeitsstufen!$G$7:$G$19,Schwierigkeitsstufen!$H$7:$H$19)))</f>
        <v/>
      </c>
      <c r="AD129" s="251" t="str">
        <f>IF((($A129="")*($B129=""))+((MID($Y129,1,4)&lt;&gt;"Wahl")*(Deckblatt!$C$14='WK-Vorlagen'!$C$82))+(Deckblatt!$C$14&lt;&gt;'WK-Vorlagen'!$C$82),"",IF(ISERROR(MATCH(VALUE(MID(J129,1,2)),Schwierigkeitsstufen!$G$7:$G$19,0)),"Gerät falsch",LOOKUP(VALUE(MID(J129,1,2)),Schwierigkeitsstufen!$G$7:$G$19,Schwierigkeitsstufen!$H$7:$H$19)))</f>
        <v/>
      </c>
      <c r="AE129" s="211"/>
      <c r="AG129" s="221" t="str">
        <f t="shared" si="9"/>
        <v/>
      </c>
      <c r="AH129" s="222" t="str">
        <f t="shared" si="11"/>
        <v/>
      </c>
      <c r="AI129" s="220">
        <f t="shared" si="16"/>
        <v>4</v>
      </c>
      <c r="AJ129" s="222">
        <f t="shared" si="12"/>
        <v>0</v>
      </c>
      <c r="AK129" s="299" t="str">
        <f>IF(ISERROR(LOOKUP(E129,WKNrListe,Übersicht!$R$7:$R$46)),"-",LOOKUP(E129,WKNrListe,Übersicht!$R$7:$R$46))</f>
        <v>-</v>
      </c>
      <c r="AL129" s="299" t="str">
        <f t="shared" si="15"/>
        <v>-</v>
      </c>
      <c r="AM129" s="303"/>
      <c r="AN129" s="174" t="str">
        <f t="shared" si="17"/>
        <v>Leer</v>
      </c>
    </row>
    <row r="130" spans="1:40" s="174" customFormat="1" ht="15" customHeight="1">
      <c r="A130" s="63"/>
      <c r="B130" s="63"/>
      <c r="C130" s="84"/>
      <c r="D130" s="85"/>
      <c r="E130" s="62"/>
      <c r="F130" s="62"/>
      <c r="G130" s="62"/>
      <c r="H130" s="62"/>
      <c r="I130" s="62"/>
      <c r="J130" s="62"/>
      <c r="K130" s="62"/>
      <c r="L130" s="62"/>
      <c r="M130" s="62"/>
      <c r="N130" s="62"/>
      <c r="O130" s="62"/>
      <c r="P130" s="62"/>
      <c r="Q130" s="62"/>
      <c r="R130" s="62"/>
      <c r="S130" s="258"/>
      <c r="T130" s="248" t="str">
        <f t="shared" si="13"/>
        <v/>
      </c>
      <c r="U130" s="249" t="str">
        <f t="shared" si="14"/>
        <v/>
      </c>
      <c r="V130" s="294" t="str">
        <f t="shared" si="10"/>
        <v/>
      </c>
      <c r="W130" s="294" t="str">
        <f>IF(((E130="")+(F130="")),"",IF(VLOOKUP(F130,Mannschaften!$A$1:$B$54,2,FALSE)&lt;&gt;E130,"Reiter Mannschaften füllen",""))</f>
        <v/>
      </c>
      <c r="X130" s="248" t="str">
        <f>IF(ISBLANK(C130),"",IF((U130&gt;(LOOKUP(E130,WKNrListe,Übersicht!$O$7:$O$46)))+(U130&lt;(LOOKUP(E130,WKNrListe,Übersicht!$P$7:$P$46))),"JG falsch",""))</f>
        <v/>
      </c>
      <c r="Y130" s="255" t="str">
        <f>IF((A130="")*(B130=""),"",IF(ISERROR(MATCH(E130,WKNrListe,0)),"WK falsch",LOOKUP(E130,WKNrListe,Übersicht!$B$7:$B$46)))</f>
        <v/>
      </c>
      <c r="Z130" s="269" t="str">
        <f>IF(((AJ130=0)*(AH130&lt;&gt;"")*(AK130="-"))+((AJ130&lt;&gt;0)*(AH130&lt;&gt;"")*(AK130="-")),IF(AG130="X",Übersicht!$C$70,Übersicht!$C$69),"-")</f>
        <v>-</v>
      </c>
      <c r="AA130" s="252" t="str">
        <f>IF((($A130="")*($B130=""))+((MID($Y130,1,4)&lt;&gt;"Wahl")*(Deckblatt!$C$14='WK-Vorlagen'!$C$82))+(Deckblatt!$C$14&lt;&gt;'WK-Vorlagen'!$C$82),"",IF(ISERROR(MATCH(VALUE(MID(G130,1,2)),Schwierigkeitsstufen!$G$7:$G$19,0)),"Gerät falsch",LOOKUP(VALUE(MID(G130,1,2)),Schwierigkeitsstufen!$G$7:$G$19,Schwierigkeitsstufen!$H$7:$H$19)))</f>
        <v/>
      </c>
      <c r="AB130" s="250" t="str">
        <f>IF((($A130="")*($B130=""))+((MID($Y130,1,4)&lt;&gt;"Wahl")*(Deckblatt!$C$14='WK-Vorlagen'!$C$82))+(Deckblatt!$C$14&lt;&gt;'WK-Vorlagen'!$C$82),"",IF(ISERROR(MATCH(VALUE(MID(H130,1,2)),Schwierigkeitsstufen!$G$7:$G$19,0)),"Gerät falsch",LOOKUP(VALUE(MID(H130,1,2)),Schwierigkeitsstufen!$G$7:$G$19,Schwierigkeitsstufen!$H$7:$H$19)))</f>
        <v/>
      </c>
      <c r="AC130" s="250" t="str">
        <f>IF((($A130="")*($B130=""))+((MID($Y130,1,4)&lt;&gt;"Wahl")*(Deckblatt!$C$14='WK-Vorlagen'!$C$82))+(Deckblatt!$C$14&lt;&gt;'WK-Vorlagen'!$C$82),"",IF(ISERROR(MATCH(VALUE(MID(I130,1,2)),Schwierigkeitsstufen!$G$7:$G$19,0)),"Gerät falsch",LOOKUP(VALUE(MID(I130,1,2)),Schwierigkeitsstufen!$G$7:$G$19,Schwierigkeitsstufen!$H$7:$H$19)))</f>
        <v/>
      </c>
      <c r="AD130" s="251" t="str">
        <f>IF((($A130="")*($B130=""))+((MID($Y130,1,4)&lt;&gt;"Wahl")*(Deckblatt!$C$14='WK-Vorlagen'!$C$82))+(Deckblatt!$C$14&lt;&gt;'WK-Vorlagen'!$C$82),"",IF(ISERROR(MATCH(VALUE(MID(J130,1,2)),Schwierigkeitsstufen!$G$7:$G$19,0)),"Gerät falsch",LOOKUP(VALUE(MID(J130,1,2)),Schwierigkeitsstufen!$G$7:$G$19,Schwierigkeitsstufen!$H$7:$H$19)))</f>
        <v/>
      </c>
      <c r="AE130" s="211"/>
      <c r="AG130" s="221" t="str">
        <f t="shared" si="9"/>
        <v/>
      </c>
      <c r="AH130" s="222" t="str">
        <f t="shared" si="11"/>
        <v/>
      </c>
      <c r="AI130" s="220">
        <f t="shared" si="16"/>
        <v>4</v>
      </c>
      <c r="AJ130" s="222">
        <f t="shared" si="12"/>
        <v>0</v>
      </c>
      <c r="AK130" s="299" t="str">
        <f>IF(ISERROR(LOOKUP(E130,WKNrListe,Übersicht!$R$7:$R$46)),"-",LOOKUP(E130,WKNrListe,Übersicht!$R$7:$R$46))</f>
        <v>-</v>
      </c>
      <c r="AL130" s="299" t="str">
        <f t="shared" si="15"/>
        <v>-</v>
      </c>
      <c r="AM130" s="303"/>
      <c r="AN130" s="174" t="str">
        <f t="shared" si="17"/>
        <v>Leer</v>
      </c>
    </row>
    <row r="131" spans="1:40" s="174" customFormat="1" ht="15" customHeight="1">
      <c r="A131" s="63"/>
      <c r="B131" s="63"/>
      <c r="C131" s="84"/>
      <c r="D131" s="85"/>
      <c r="E131" s="62"/>
      <c r="F131" s="62"/>
      <c r="G131" s="62"/>
      <c r="H131" s="62"/>
      <c r="I131" s="62"/>
      <c r="J131" s="62"/>
      <c r="K131" s="62"/>
      <c r="L131" s="62"/>
      <c r="M131" s="62"/>
      <c r="N131" s="62"/>
      <c r="O131" s="62"/>
      <c r="P131" s="62"/>
      <c r="Q131" s="62"/>
      <c r="R131" s="62"/>
      <c r="S131" s="258"/>
      <c r="T131" s="248" t="str">
        <f t="shared" si="13"/>
        <v/>
      </c>
      <c r="U131" s="249" t="str">
        <f t="shared" si="14"/>
        <v/>
      </c>
      <c r="V131" s="294" t="str">
        <f t="shared" si="10"/>
        <v/>
      </c>
      <c r="W131" s="294" t="str">
        <f>IF(((E131="")+(F131="")),"",IF(VLOOKUP(F131,Mannschaften!$A$1:$B$54,2,FALSE)&lt;&gt;E131,"Reiter Mannschaften füllen",""))</f>
        <v/>
      </c>
      <c r="X131" s="248" t="str">
        <f>IF(ISBLANK(C131),"",IF((U131&gt;(LOOKUP(E131,WKNrListe,Übersicht!$O$7:$O$46)))+(U131&lt;(LOOKUP(E131,WKNrListe,Übersicht!$P$7:$P$46))),"JG falsch",""))</f>
        <v/>
      </c>
      <c r="Y131" s="255" t="str">
        <f>IF((A131="")*(B131=""),"",IF(ISERROR(MATCH(E131,WKNrListe,0)),"WK falsch",LOOKUP(E131,WKNrListe,Übersicht!$B$7:$B$46)))</f>
        <v/>
      </c>
      <c r="Z131" s="269" t="str">
        <f>IF(((AJ131=0)*(AH131&lt;&gt;"")*(AK131="-"))+((AJ131&lt;&gt;0)*(AH131&lt;&gt;"")*(AK131="-")),IF(AG131="X",Übersicht!$C$70,Übersicht!$C$69),"-")</f>
        <v>-</v>
      </c>
      <c r="AA131" s="252" t="str">
        <f>IF((($A131="")*($B131=""))+((MID($Y131,1,4)&lt;&gt;"Wahl")*(Deckblatt!$C$14='WK-Vorlagen'!$C$82))+(Deckblatt!$C$14&lt;&gt;'WK-Vorlagen'!$C$82),"",IF(ISERROR(MATCH(VALUE(MID(G131,1,2)),Schwierigkeitsstufen!$G$7:$G$19,0)),"Gerät falsch",LOOKUP(VALUE(MID(G131,1,2)),Schwierigkeitsstufen!$G$7:$G$19,Schwierigkeitsstufen!$H$7:$H$19)))</f>
        <v/>
      </c>
      <c r="AB131" s="250" t="str">
        <f>IF((($A131="")*($B131=""))+((MID($Y131,1,4)&lt;&gt;"Wahl")*(Deckblatt!$C$14='WK-Vorlagen'!$C$82))+(Deckblatt!$C$14&lt;&gt;'WK-Vorlagen'!$C$82),"",IF(ISERROR(MATCH(VALUE(MID(H131,1,2)),Schwierigkeitsstufen!$G$7:$G$19,0)),"Gerät falsch",LOOKUP(VALUE(MID(H131,1,2)),Schwierigkeitsstufen!$G$7:$G$19,Schwierigkeitsstufen!$H$7:$H$19)))</f>
        <v/>
      </c>
      <c r="AC131" s="250" t="str">
        <f>IF((($A131="")*($B131=""))+((MID($Y131,1,4)&lt;&gt;"Wahl")*(Deckblatt!$C$14='WK-Vorlagen'!$C$82))+(Deckblatt!$C$14&lt;&gt;'WK-Vorlagen'!$C$82),"",IF(ISERROR(MATCH(VALUE(MID(I131,1,2)),Schwierigkeitsstufen!$G$7:$G$19,0)),"Gerät falsch",LOOKUP(VALUE(MID(I131,1,2)),Schwierigkeitsstufen!$G$7:$G$19,Schwierigkeitsstufen!$H$7:$H$19)))</f>
        <v/>
      </c>
      <c r="AD131" s="251" t="str">
        <f>IF((($A131="")*($B131=""))+((MID($Y131,1,4)&lt;&gt;"Wahl")*(Deckblatt!$C$14='WK-Vorlagen'!$C$82))+(Deckblatt!$C$14&lt;&gt;'WK-Vorlagen'!$C$82),"",IF(ISERROR(MATCH(VALUE(MID(J131,1,2)),Schwierigkeitsstufen!$G$7:$G$19,0)),"Gerät falsch",LOOKUP(VALUE(MID(J131,1,2)),Schwierigkeitsstufen!$G$7:$G$19,Schwierigkeitsstufen!$H$7:$H$19)))</f>
        <v/>
      </c>
      <c r="AE131" s="211"/>
      <c r="AG131" s="221" t="str">
        <f t="shared" si="9"/>
        <v/>
      </c>
      <c r="AH131" s="222" t="str">
        <f t="shared" si="11"/>
        <v/>
      </c>
      <c r="AI131" s="220">
        <f t="shared" si="16"/>
        <v>4</v>
      </c>
      <c r="AJ131" s="222">
        <f t="shared" si="12"/>
        <v>0</v>
      </c>
      <c r="AK131" s="299" t="str">
        <f>IF(ISERROR(LOOKUP(E131,WKNrListe,Übersicht!$R$7:$R$46)),"-",LOOKUP(E131,WKNrListe,Übersicht!$R$7:$R$46))</f>
        <v>-</v>
      </c>
      <c r="AL131" s="299" t="str">
        <f t="shared" si="15"/>
        <v>-</v>
      </c>
      <c r="AM131" s="303"/>
      <c r="AN131" s="174" t="str">
        <f t="shared" si="17"/>
        <v>Leer</v>
      </c>
    </row>
    <row r="132" spans="1:40" s="174" customFormat="1" ht="15" customHeight="1">
      <c r="A132" s="63"/>
      <c r="B132" s="63"/>
      <c r="C132" s="84"/>
      <c r="D132" s="85"/>
      <c r="E132" s="62"/>
      <c r="F132" s="62"/>
      <c r="G132" s="62"/>
      <c r="H132" s="62"/>
      <c r="I132" s="62"/>
      <c r="J132" s="62"/>
      <c r="K132" s="62"/>
      <c r="L132" s="62"/>
      <c r="M132" s="62"/>
      <c r="N132" s="62"/>
      <c r="O132" s="62"/>
      <c r="P132" s="62"/>
      <c r="Q132" s="62"/>
      <c r="R132" s="62"/>
      <c r="S132" s="258"/>
      <c r="T132" s="248" t="str">
        <f t="shared" si="13"/>
        <v/>
      </c>
      <c r="U132" s="249" t="str">
        <f t="shared" si="14"/>
        <v/>
      </c>
      <c r="V132" s="294" t="str">
        <f t="shared" si="10"/>
        <v/>
      </c>
      <c r="W132" s="294" t="str">
        <f>IF(((E132="")+(F132="")),"",IF(VLOOKUP(F132,Mannschaften!$A$1:$B$54,2,FALSE)&lt;&gt;E132,"Reiter Mannschaften füllen",""))</f>
        <v/>
      </c>
      <c r="X132" s="248" t="str">
        <f>IF(ISBLANK(C132),"",IF((U132&gt;(LOOKUP(E132,WKNrListe,Übersicht!$O$7:$O$46)))+(U132&lt;(LOOKUP(E132,WKNrListe,Übersicht!$P$7:$P$46))),"JG falsch",""))</f>
        <v/>
      </c>
      <c r="Y132" s="255" t="str">
        <f>IF((A132="")*(B132=""),"",IF(ISERROR(MATCH(E132,WKNrListe,0)),"WK falsch",LOOKUP(E132,WKNrListe,Übersicht!$B$7:$B$46)))</f>
        <v/>
      </c>
      <c r="Z132" s="269" t="str">
        <f>IF(((AJ132=0)*(AH132&lt;&gt;"")*(AK132="-"))+((AJ132&lt;&gt;0)*(AH132&lt;&gt;"")*(AK132="-")),IF(AG132="X",Übersicht!$C$70,Übersicht!$C$69),"-")</f>
        <v>-</v>
      </c>
      <c r="AA132" s="252" t="str">
        <f>IF((($A132="")*($B132=""))+((MID($Y132,1,4)&lt;&gt;"Wahl")*(Deckblatt!$C$14='WK-Vorlagen'!$C$82))+(Deckblatt!$C$14&lt;&gt;'WK-Vorlagen'!$C$82),"",IF(ISERROR(MATCH(VALUE(MID(G132,1,2)),Schwierigkeitsstufen!$G$7:$G$19,0)),"Gerät falsch",LOOKUP(VALUE(MID(G132,1,2)),Schwierigkeitsstufen!$G$7:$G$19,Schwierigkeitsstufen!$H$7:$H$19)))</f>
        <v/>
      </c>
      <c r="AB132" s="250" t="str">
        <f>IF((($A132="")*($B132=""))+((MID($Y132,1,4)&lt;&gt;"Wahl")*(Deckblatt!$C$14='WK-Vorlagen'!$C$82))+(Deckblatt!$C$14&lt;&gt;'WK-Vorlagen'!$C$82),"",IF(ISERROR(MATCH(VALUE(MID(H132,1,2)),Schwierigkeitsstufen!$G$7:$G$19,0)),"Gerät falsch",LOOKUP(VALUE(MID(H132,1,2)),Schwierigkeitsstufen!$G$7:$G$19,Schwierigkeitsstufen!$H$7:$H$19)))</f>
        <v/>
      </c>
      <c r="AC132" s="250" t="str">
        <f>IF((($A132="")*($B132=""))+((MID($Y132,1,4)&lt;&gt;"Wahl")*(Deckblatt!$C$14='WK-Vorlagen'!$C$82))+(Deckblatt!$C$14&lt;&gt;'WK-Vorlagen'!$C$82),"",IF(ISERROR(MATCH(VALUE(MID(I132,1,2)),Schwierigkeitsstufen!$G$7:$G$19,0)),"Gerät falsch",LOOKUP(VALUE(MID(I132,1,2)),Schwierigkeitsstufen!$G$7:$G$19,Schwierigkeitsstufen!$H$7:$H$19)))</f>
        <v/>
      </c>
      <c r="AD132" s="251" t="str">
        <f>IF((($A132="")*($B132=""))+((MID($Y132,1,4)&lt;&gt;"Wahl")*(Deckblatt!$C$14='WK-Vorlagen'!$C$82))+(Deckblatt!$C$14&lt;&gt;'WK-Vorlagen'!$C$82),"",IF(ISERROR(MATCH(VALUE(MID(J132,1,2)),Schwierigkeitsstufen!$G$7:$G$19,0)),"Gerät falsch",LOOKUP(VALUE(MID(J132,1,2)),Schwierigkeitsstufen!$G$7:$G$19,Schwierigkeitsstufen!$H$7:$H$19)))</f>
        <v/>
      </c>
      <c r="AE132" s="211"/>
      <c r="AG132" s="221" t="str">
        <f t="shared" ref="AG132:AG195" si="18">IF((C132&lt;&gt;0),IF(((Jahr-U132)&gt;19)*(AJ132=0)*(AK132&lt;&gt;1),"X",IF(((Jahr-U132)&gt;19)*(AJ132=0),"J","-")),"")</f>
        <v/>
      </c>
      <c r="AH132" s="222" t="str">
        <f t="shared" si="11"/>
        <v/>
      </c>
      <c r="AI132" s="220">
        <f t="shared" si="16"/>
        <v>4</v>
      </c>
      <c r="AJ132" s="222">
        <f t="shared" si="12"/>
        <v>0</v>
      </c>
      <c r="AK132" s="299" t="str">
        <f>IF(ISERROR(LOOKUP(E132,WKNrListe,Übersicht!$R$7:$R$46)),"-",LOOKUP(E132,WKNrListe,Übersicht!$R$7:$R$46))</f>
        <v>-</v>
      </c>
      <c r="AL132" s="299" t="str">
        <f t="shared" si="15"/>
        <v>-</v>
      </c>
      <c r="AM132" s="303"/>
      <c r="AN132" s="174" t="str">
        <f t="shared" si="17"/>
        <v>Leer</v>
      </c>
    </row>
    <row r="133" spans="1:40" s="174" customFormat="1" ht="15" customHeight="1">
      <c r="A133" s="63"/>
      <c r="B133" s="63"/>
      <c r="C133" s="84"/>
      <c r="D133" s="85"/>
      <c r="E133" s="62"/>
      <c r="F133" s="62"/>
      <c r="G133" s="62"/>
      <c r="H133" s="62"/>
      <c r="I133" s="62"/>
      <c r="J133" s="62"/>
      <c r="K133" s="62"/>
      <c r="L133" s="62"/>
      <c r="M133" s="62"/>
      <c r="N133" s="62"/>
      <c r="O133" s="62"/>
      <c r="P133" s="62"/>
      <c r="Q133" s="62"/>
      <c r="R133" s="62"/>
      <c r="S133" s="258"/>
      <c r="T133" s="248" t="str">
        <f t="shared" si="13"/>
        <v/>
      </c>
      <c r="U133" s="249" t="str">
        <f t="shared" si="14"/>
        <v/>
      </c>
      <c r="V133" s="294" t="str">
        <f t="shared" ref="V133:V196" si="19">IF(((AK133="-")*(F133=""))+((AK133=1)*(F133&lt;&gt;""))+(Y133="WK falsch"),"",IF((AK133=1)*(F133=""),"Mannsch-Nr fehlt","Mannsch-Nr entf"))</f>
        <v/>
      </c>
      <c r="W133" s="294" t="str">
        <f>IF(((E133="")+(F133="")),"",IF(VLOOKUP(F133,Mannschaften!$A$1:$B$54,2,FALSE)&lt;&gt;E133,"Reiter Mannschaften füllen",""))</f>
        <v/>
      </c>
      <c r="X133" s="248" t="str">
        <f>IF(ISBLANK(C133),"",IF((U133&gt;(LOOKUP(E133,WKNrListe,Übersicht!$O$7:$O$46)))+(U133&lt;(LOOKUP(E133,WKNrListe,Übersicht!$P$7:$P$46))),"JG falsch",""))</f>
        <v/>
      </c>
      <c r="Y133" s="255" t="str">
        <f>IF((A133="")*(B133=""),"",IF(ISERROR(MATCH(E133,WKNrListe,0)),"WK falsch",LOOKUP(E133,WKNrListe,Übersicht!$B$7:$B$46)))</f>
        <v/>
      </c>
      <c r="Z133" s="269" t="str">
        <f>IF(((AJ133=0)*(AH133&lt;&gt;"")*(AK133="-"))+((AJ133&lt;&gt;0)*(AH133&lt;&gt;"")*(AK133="-")),IF(AG133="X",Übersicht!$C$70,Übersicht!$C$69),"-")</f>
        <v>-</v>
      </c>
      <c r="AA133" s="252" t="str">
        <f>IF((($A133="")*($B133=""))+((MID($Y133,1,4)&lt;&gt;"Wahl")*(Deckblatt!$C$14='WK-Vorlagen'!$C$82))+(Deckblatt!$C$14&lt;&gt;'WK-Vorlagen'!$C$82),"",IF(ISERROR(MATCH(VALUE(MID(G133,1,2)),Schwierigkeitsstufen!$G$7:$G$19,0)),"Gerät falsch",LOOKUP(VALUE(MID(G133,1,2)),Schwierigkeitsstufen!$G$7:$G$19,Schwierigkeitsstufen!$H$7:$H$19)))</f>
        <v/>
      </c>
      <c r="AB133" s="250" t="str">
        <f>IF((($A133="")*($B133=""))+((MID($Y133,1,4)&lt;&gt;"Wahl")*(Deckblatt!$C$14='WK-Vorlagen'!$C$82))+(Deckblatt!$C$14&lt;&gt;'WK-Vorlagen'!$C$82),"",IF(ISERROR(MATCH(VALUE(MID(H133,1,2)),Schwierigkeitsstufen!$G$7:$G$19,0)),"Gerät falsch",LOOKUP(VALUE(MID(H133,1,2)),Schwierigkeitsstufen!$G$7:$G$19,Schwierigkeitsstufen!$H$7:$H$19)))</f>
        <v/>
      </c>
      <c r="AC133" s="250" t="str">
        <f>IF((($A133="")*($B133=""))+((MID($Y133,1,4)&lt;&gt;"Wahl")*(Deckblatt!$C$14='WK-Vorlagen'!$C$82))+(Deckblatt!$C$14&lt;&gt;'WK-Vorlagen'!$C$82),"",IF(ISERROR(MATCH(VALUE(MID(I133,1,2)),Schwierigkeitsstufen!$G$7:$G$19,0)),"Gerät falsch",LOOKUP(VALUE(MID(I133,1,2)),Schwierigkeitsstufen!$G$7:$G$19,Schwierigkeitsstufen!$H$7:$H$19)))</f>
        <v/>
      </c>
      <c r="AD133" s="251" t="str">
        <f>IF((($A133="")*($B133=""))+((MID($Y133,1,4)&lt;&gt;"Wahl")*(Deckblatt!$C$14='WK-Vorlagen'!$C$82))+(Deckblatt!$C$14&lt;&gt;'WK-Vorlagen'!$C$82),"",IF(ISERROR(MATCH(VALUE(MID(J133,1,2)),Schwierigkeitsstufen!$G$7:$G$19,0)),"Gerät falsch",LOOKUP(VALUE(MID(J133,1,2)),Schwierigkeitsstufen!$G$7:$G$19,Schwierigkeitsstufen!$H$7:$H$19)))</f>
        <v/>
      </c>
      <c r="AE133" s="211"/>
      <c r="AG133" s="221" t="str">
        <f t="shared" si="18"/>
        <v/>
      </c>
      <c r="AH133" s="222" t="str">
        <f t="shared" ref="AH133:AH196" si="20">CONCATENATE(TRIM(A133),TRIM(B133),TRIM(C133))</f>
        <v/>
      </c>
      <c r="AI133" s="220">
        <f t="shared" si="16"/>
        <v>4</v>
      </c>
      <c r="AJ133" s="222">
        <f t="shared" ref="AJ133:AJ196" si="21">IF(AH133="",0,IF(ROW(AH133)=AI133,0,AI133))</f>
        <v>0</v>
      </c>
      <c r="AK133" s="299" t="str">
        <f>IF(ISERROR(LOOKUP(E133,WKNrListe,Übersicht!$R$7:$R$46)),"-",LOOKUP(E133,WKNrListe,Übersicht!$R$7:$R$46))</f>
        <v>-</v>
      </c>
      <c r="AL133" s="299" t="str">
        <f t="shared" si="15"/>
        <v>-</v>
      </c>
      <c r="AM133" s="303"/>
      <c r="AN133" s="174" t="str">
        <f t="shared" si="17"/>
        <v>Leer</v>
      </c>
    </row>
    <row r="134" spans="1:40" s="174" customFormat="1" ht="15" customHeight="1">
      <c r="A134" s="63"/>
      <c r="B134" s="63"/>
      <c r="C134" s="84"/>
      <c r="D134" s="85"/>
      <c r="E134" s="62"/>
      <c r="F134" s="62"/>
      <c r="G134" s="62"/>
      <c r="H134" s="62"/>
      <c r="I134" s="62"/>
      <c r="J134" s="62"/>
      <c r="K134" s="62"/>
      <c r="L134" s="62"/>
      <c r="M134" s="62"/>
      <c r="N134" s="62"/>
      <c r="O134" s="62"/>
      <c r="P134" s="62"/>
      <c r="Q134" s="62"/>
      <c r="R134" s="62"/>
      <c r="S134" s="258"/>
      <c r="T134" s="248" t="str">
        <f t="shared" ref="T134:T197" si="22">IF(AND(OR(ISTEXT(A134),ISTEXT(B134),NOT(ISBLANK(C134)),NOT(ISBLANK(D134)),NOT(ISBLANK(E134))),OR(ISBLANK(A134),ISBLANK(B134),ISBLANK(C134),ISBLANK(E134))),"unvollständig","")</f>
        <v/>
      </c>
      <c r="U134" s="249" t="str">
        <f t="shared" ref="U134:U197" si="23">IF(ISBLANK(C134),"",YEAR(C134))</f>
        <v/>
      </c>
      <c r="V134" s="294" t="str">
        <f t="shared" si="19"/>
        <v/>
      </c>
      <c r="W134" s="294" t="str">
        <f>IF(((E134="")+(F134="")),"",IF(VLOOKUP(F134,Mannschaften!$A$1:$B$54,2,FALSE)&lt;&gt;E134,"Reiter Mannschaften füllen",""))</f>
        <v/>
      </c>
      <c r="X134" s="248" t="str">
        <f>IF(ISBLANK(C134),"",IF((U134&gt;(LOOKUP(E134,WKNrListe,Übersicht!$O$7:$O$46)))+(U134&lt;(LOOKUP(E134,WKNrListe,Übersicht!$P$7:$P$46))),"JG falsch",""))</f>
        <v/>
      </c>
      <c r="Y134" s="255" t="str">
        <f>IF((A134="")*(B134=""),"",IF(ISERROR(MATCH(E134,WKNrListe,0)),"WK falsch",LOOKUP(E134,WKNrListe,Übersicht!$B$7:$B$46)))</f>
        <v/>
      </c>
      <c r="Z134" s="269" t="str">
        <f>IF(((AJ134=0)*(AH134&lt;&gt;"")*(AK134="-"))+((AJ134&lt;&gt;0)*(AH134&lt;&gt;"")*(AK134="-")),IF(AG134="X",Übersicht!$C$70,Übersicht!$C$69),"-")</f>
        <v>-</v>
      </c>
      <c r="AA134" s="252" t="str">
        <f>IF((($A134="")*($B134=""))+((MID($Y134,1,4)&lt;&gt;"Wahl")*(Deckblatt!$C$14='WK-Vorlagen'!$C$82))+(Deckblatt!$C$14&lt;&gt;'WK-Vorlagen'!$C$82),"",IF(ISERROR(MATCH(VALUE(MID(G134,1,2)),Schwierigkeitsstufen!$G$7:$G$19,0)),"Gerät falsch",LOOKUP(VALUE(MID(G134,1,2)),Schwierigkeitsstufen!$G$7:$G$19,Schwierigkeitsstufen!$H$7:$H$19)))</f>
        <v/>
      </c>
      <c r="AB134" s="250" t="str">
        <f>IF((($A134="")*($B134=""))+((MID($Y134,1,4)&lt;&gt;"Wahl")*(Deckblatt!$C$14='WK-Vorlagen'!$C$82))+(Deckblatt!$C$14&lt;&gt;'WK-Vorlagen'!$C$82),"",IF(ISERROR(MATCH(VALUE(MID(H134,1,2)),Schwierigkeitsstufen!$G$7:$G$19,0)),"Gerät falsch",LOOKUP(VALUE(MID(H134,1,2)),Schwierigkeitsstufen!$G$7:$G$19,Schwierigkeitsstufen!$H$7:$H$19)))</f>
        <v/>
      </c>
      <c r="AC134" s="250" t="str">
        <f>IF((($A134="")*($B134=""))+((MID($Y134,1,4)&lt;&gt;"Wahl")*(Deckblatt!$C$14='WK-Vorlagen'!$C$82))+(Deckblatt!$C$14&lt;&gt;'WK-Vorlagen'!$C$82),"",IF(ISERROR(MATCH(VALUE(MID(I134,1,2)),Schwierigkeitsstufen!$G$7:$G$19,0)),"Gerät falsch",LOOKUP(VALUE(MID(I134,1,2)),Schwierigkeitsstufen!$G$7:$G$19,Schwierigkeitsstufen!$H$7:$H$19)))</f>
        <v/>
      </c>
      <c r="AD134" s="251" t="str">
        <f>IF((($A134="")*($B134=""))+((MID($Y134,1,4)&lt;&gt;"Wahl")*(Deckblatt!$C$14='WK-Vorlagen'!$C$82))+(Deckblatt!$C$14&lt;&gt;'WK-Vorlagen'!$C$82),"",IF(ISERROR(MATCH(VALUE(MID(J134,1,2)),Schwierigkeitsstufen!$G$7:$G$19,0)),"Gerät falsch",LOOKUP(VALUE(MID(J134,1,2)),Schwierigkeitsstufen!$G$7:$G$19,Schwierigkeitsstufen!$H$7:$H$19)))</f>
        <v/>
      </c>
      <c r="AE134" s="211"/>
      <c r="AG134" s="221" t="str">
        <f t="shared" si="18"/>
        <v/>
      </c>
      <c r="AH134" s="222" t="str">
        <f t="shared" si="20"/>
        <v/>
      </c>
      <c r="AI134" s="220">
        <f t="shared" si="16"/>
        <v>4</v>
      </c>
      <c r="AJ134" s="222">
        <f t="shared" si="21"/>
        <v>0</v>
      </c>
      <c r="AK134" s="299" t="str">
        <f>IF(ISERROR(LOOKUP(E134,WKNrListe,Übersicht!$R$7:$R$46)),"-",LOOKUP(E134,WKNrListe,Übersicht!$R$7:$R$46))</f>
        <v>-</v>
      </c>
      <c r="AL134" s="299" t="str">
        <f t="shared" ref="AL134:AL197" si="24">IF(E134="","-",E134)</f>
        <v>-</v>
      </c>
      <c r="AM134" s="303"/>
      <c r="AN134" s="174" t="str">
        <f t="shared" si="17"/>
        <v>Leer</v>
      </c>
    </row>
    <row r="135" spans="1:40" s="174" customFormat="1" ht="15" customHeight="1">
      <c r="A135" s="63"/>
      <c r="B135" s="63"/>
      <c r="C135" s="84"/>
      <c r="D135" s="85"/>
      <c r="E135" s="62"/>
      <c r="F135" s="62"/>
      <c r="G135" s="62"/>
      <c r="H135" s="62"/>
      <c r="I135" s="62"/>
      <c r="J135" s="62"/>
      <c r="K135" s="62"/>
      <c r="L135" s="62"/>
      <c r="M135" s="62"/>
      <c r="N135" s="62"/>
      <c r="O135" s="62"/>
      <c r="P135" s="62"/>
      <c r="Q135" s="62"/>
      <c r="R135" s="62"/>
      <c r="S135" s="258"/>
      <c r="T135" s="248" t="str">
        <f t="shared" si="22"/>
        <v/>
      </c>
      <c r="U135" s="249" t="str">
        <f t="shared" si="23"/>
        <v/>
      </c>
      <c r="V135" s="294" t="str">
        <f t="shared" si="19"/>
        <v/>
      </c>
      <c r="W135" s="294" t="str">
        <f>IF(((E135="")+(F135="")),"",IF(VLOOKUP(F135,Mannschaften!$A$1:$B$54,2,FALSE)&lt;&gt;E135,"Reiter Mannschaften füllen",""))</f>
        <v/>
      </c>
      <c r="X135" s="248" t="str">
        <f>IF(ISBLANK(C135),"",IF((U135&gt;(LOOKUP(E135,WKNrListe,Übersicht!$O$7:$O$46)))+(U135&lt;(LOOKUP(E135,WKNrListe,Übersicht!$P$7:$P$46))),"JG falsch",""))</f>
        <v/>
      </c>
      <c r="Y135" s="255" t="str">
        <f>IF((A135="")*(B135=""),"",IF(ISERROR(MATCH(E135,WKNrListe,0)),"WK falsch",LOOKUP(E135,WKNrListe,Übersicht!$B$7:$B$46)))</f>
        <v/>
      </c>
      <c r="Z135" s="269" t="str">
        <f>IF(((AJ135=0)*(AH135&lt;&gt;"")*(AK135="-"))+((AJ135&lt;&gt;0)*(AH135&lt;&gt;"")*(AK135="-")),IF(AG135="X",Übersicht!$C$70,Übersicht!$C$69),"-")</f>
        <v>-</v>
      </c>
      <c r="AA135" s="252" t="str">
        <f>IF((($A135="")*($B135=""))+((MID($Y135,1,4)&lt;&gt;"Wahl")*(Deckblatt!$C$14='WK-Vorlagen'!$C$82))+(Deckblatt!$C$14&lt;&gt;'WK-Vorlagen'!$C$82),"",IF(ISERROR(MATCH(VALUE(MID(G135,1,2)),Schwierigkeitsstufen!$G$7:$G$19,0)),"Gerät falsch",LOOKUP(VALUE(MID(G135,1,2)),Schwierigkeitsstufen!$G$7:$G$19,Schwierigkeitsstufen!$H$7:$H$19)))</f>
        <v/>
      </c>
      <c r="AB135" s="250" t="str">
        <f>IF((($A135="")*($B135=""))+((MID($Y135,1,4)&lt;&gt;"Wahl")*(Deckblatt!$C$14='WK-Vorlagen'!$C$82))+(Deckblatt!$C$14&lt;&gt;'WK-Vorlagen'!$C$82),"",IF(ISERROR(MATCH(VALUE(MID(H135,1,2)),Schwierigkeitsstufen!$G$7:$G$19,0)),"Gerät falsch",LOOKUP(VALUE(MID(H135,1,2)),Schwierigkeitsstufen!$G$7:$G$19,Schwierigkeitsstufen!$H$7:$H$19)))</f>
        <v/>
      </c>
      <c r="AC135" s="250" t="str">
        <f>IF((($A135="")*($B135=""))+((MID($Y135,1,4)&lt;&gt;"Wahl")*(Deckblatt!$C$14='WK-Vorlagen'!$C$82))+(Deckblatt!$C$14&lt;&gt;'WK-Vorlagen'!$C$82),"",IF(ISERROR(MATCH(VALUE(MID(I135,1,2)),Schwierigkeitsstufen!$G$7:$G$19,0)),"Gerät falsch",LOOKUP(VALUE(MID(I135,1,2)),Schwierigkeitsstufen!$G$7:$G$19,Schwierigkeitsstufen!$H$7:$H$19)))</f>
        <v/>
      </c>
      <c r="AD135" s="251" t="str">
        <f>IF((($A135="")*($B135=""))+((MID($Y135,1,4)&lt;&gt;"Wahl")*(Deckblatt!$C$14='WK-Vorlagen'!$C$82))+(Deckblatt!$C$14&lt;&gt;'WK-Vorlagen'!$C$82),"",IF(ISERROR(MATCH(VALUE(MID(J135,1,2)),Schwierigkeitsstufen!$G$7:$G$19,0)),"Gerät falsch",LOOKUP(VALUE(MID(J135,1,2)),Schwierigkeitsstufen!$G$7:$G$19,Schwierigkeitsstufen!$H$7:$H$19)))</f>
        <v/>
      </c>
      <c r="AE135" s="211"/>
      <c r="AG135" s="221" t="str">
        <f t="shared" si="18"/>
        <v/>
      </c>
      <c r="AH135" s="222" t="str">
        <f t="shared" si="20"/>
        <v/>
      </c>
      <c r="AI135" s="220">
        <f t="shared" ref="AI135:AI198" si="25">MATCH(AH135,AH:AH,0)</f>
        <v>4</v>
      </c>
      <c r="AJ135" s="222">
        <f t="shared" si="21"/>
        <v>0</v>
      </c>
      <c r="AK135" s="299" t="str">
        <f>IF(ISERROR(LOOKUP(E135,WKNrListe,Übersicht!$R$7:$R$46)),"-",LOOKUP(E135,WKNrListe,Übersicht!$R$7:$R$46))</f>
        <v>-</v>
      </c>
      <c r="AL135" s="299" t="str">
        <f t="shared" si="24"/>
        <v>-</v>
      </c>
      <c r="AM135" s="303"/>
      <c r="AN135" s="174" t="str">
        <f t="shared" si="17"/>
        <v>Leer</v>
      </c>
    </row>
    <row r="136" spans="1:40" s="174" customFormat="1" ht="15" customHeight="1">
      <c r="A136" s="63"/>
      <c r="B136" s="63"/>
      <c r="C136" s="84"/>
      <c r="D136" s="85"/>
      <c r="E136" s="62"/>
      <c r="F136" s="62"/>
      <c r="G136" s="62"/>
      <c r="H136" s="62"/>
      <c r="I136" s="62"/>
      <c r="J136" s="62"/>
      <c r="K136" s="62"/>
      <c r="L136" s="62"/>
      <c r="M136" s="62"/>
      <c r="N136" s="62"/>
      <c r="O136" s="62"/>
      <c r="P136" s="62"/>
      <c r="Q136" s="62"/>
      <c r="R136" s="62"/>
      <c r="S136" s="258"/>
      <c r="T136" s="248" t="str">
        <f t="shared" si="22"/>
        <v/>
      </c>
      <c r="U136" s="249" t="str">
        <f t="shared" si="23"/>
        <v/>
      </c>
      <c r="V136" s="294" t="str">
        <f t="shared" si="19"/>
        <v/>
      </c>
      <c r="W136" s="294" t="str">
        <f>IF(((E136="")+(F136="")),"",IF(VLOOKUP(F136,Mannschaften!$A$1:$B$54,2,FALSE)&lt;&gt;E136,"Reiter Mannschaften füllen",""))</f>
        <v/>
      </c>
      <c r="X136" s="248" t="str">
        <f>IF(ISBLANK(C136),"",IF((U136&gt;(LOOKUP(E136,WKNrListe,Übersicht!$O$7:$O$46)))+(U136&lt;(LOOKUP(E136,WKNrListe,Übersicht!$P$7:$P$46))),"JG falsch",""))</f>
        <v/>
      </c>
      <c r="Y136" s="255" t="str">
        <f>IF((A136="")*(B136=""),"",IF(ISERROR(MATCH(E136,WKNrListe,0)),"WK falsch",LOOKUP(E136,WKNrListe,Übersicht!$B$7:$B$46)))</f>
        <v/>
      </c>
      <c r="Z136" s="269" t="str">
        <f>IF(((AJ136=0)*(AH136&lt;&gt;"")*(AK136="-"))+((AJ136&lt;&gt;0)*(AH136&lt;&gt;"")*(AK136="-")),IF(AG136="X",Übersicht!$C$70,Übersicht!$C$69),"-")</f>
        <v>-</v>
      </c>
      <c r="AA136" s="252" t="str">
        <f>IF((($A136="")*($B136=""))+((MID($Y136,1,4)&lt;&gt;"Wahl")*(Deckblatt!$C$14='WK-Vorlagen'!$C$82))+(Deckblatt!$C$14&lt;&gt;'WK-Vorlagen'!$C$82),"",IF(ISERROR(MATCH(VALUE(MID(G136,1,2)),Schwierigkeitsstufen!$G$7:$G$19,0)),"Gerät falsch",LOOKUP(VALUE(MID(G136,1,2)),Schwierigkeitsstufen!$G$7:$G$19,Schwierigkeitsstufen!$H$7:$H$19)))</f>
        <v/>
      </c>
      <c r="AB136" s="250" t="str">
        <f>IF((($A136="")*($B136=""))+((MID($Y136,1,4)&lt;&gt;"Wahl")*(Deckblatt!$C$14='WK-Vorlagen'!$C$82))+(Deckblatt!$C$14&lt;&gt;'WK-Vorlagen'!$C$82),"",IF(ISERROR(MATCH(VALUE(MID(H136,1,2)),Schwierigkeitsstufen!$G$7:$G$19,0)),"Gerät falsch",LOOKUP(VALUE(MID(H136,1,2)),Schwierigkeitsstufen!$G$7:$G$19,Schwierigkeitsstufen!$H$7:$H$19)))</f>
        <v/>
      </c>
      <c r="AC136" s="250" t="str">
        <f>IF((($A136="")*($B136=""))+((MID($Y136,1,4)&lt;&gt;"Wahl")*(Deckblatt!$C$14='WK-Vorlagen'!$C$82))+(Deckblatt!$C$14&lt;&gt;'WK-Vorlagen'!$C$82),"",IF(ISERROR(MATCH(VALUE(MID(I136,1,2)),Schwierigkeitsstufen!$G$7:$G$19,0)),"Gerät falsch",LOOKUP(VALUE(MID(I136,1,2)),Schwierigkeitsstufen!$G$7:$G$19,Schwierigkeitsstufen!$H$7:$H$19)))</f>
        <v/>
      </c>
      <c r="AD136" s="251" t="str">
        <f>IF((($A136="")*($B136=""))+((MID($Y136,1,4)&lt;&gt;"Wahl")*(Deckblatt!$C$14='WK-Vorlagen'!$C$82))+(Deckblatt!$C$14&lt;&gt;'WK-Vorlagen'!$C$82),"",IF(ISERROR(MATCH(VALUE(MID(J136,1,2)),Schwierigkeitsstufen!$G$7:$G$19,0)),"Gerät falsch",LOOKUP(VALUE(MID(J136,1,2)),Schwierigkeitsstufen!$G$7:$G$19,Schwierigkeitsstufen!$H$7:$H$19)))</f>
        <v/>
      </c>
      <c r="AE136" s="211"/>
      <c r="AG136" s="221" t="str">
        <f t="shared" si="18"/>
        <v/>
      </c>
      <c r="AH136" s="222" t="str">
        <f t="shared" si="20"/>
        <v/>
      </c>
      <c r="AI136" s="220">
        <f t="shared" si="25"/>
        <v>4</v>
      </c>
      <c r="AJ136" s="222">
        <f t="shared" si="21"/>
        <v>0</v>
      </c>
      <c r="AK136" s="299" t="str">
        <f>IF(ISERROR(LOOKUP(E136,WKNrListe,Übersicht!$R$7:$R$46)),"-",LOOKUP(E136,WKNrListe,Übersicht!$R$7:$R$46))</f>
        <v>-</v>
      </c>
      <c r="AL136" s="299" t="str">
        <f t="shared" si="24"/>
        <v>-</v>
      </c>
      <c r="AM136" s="303"/>
      <c r="AN136" s="174" t="str">
        <f t="shared" si="17"/>
        <v>Leer</v>
      </c>
    </row>
    <row r="137" spans="1:40" s="174" customFormat="1" ht="15" customHeight="1">
      <c r="A137" s="63"/>
      <c r="B137" s="63"/>
      <c r="C137" s="84"/>
      <c r="D137" s="85"/>
      <c r="E137" s="62"/>
      <c r="F137" s="62"/>
      <c r="G137" s="62"/>
      <c r="H137" s="62"/>
      <c r="I137" s="62"/>
      <c r="J137" s="62"/>
      <c r="K137" s="62"/>
      <c r="L137" s="62"/>
      <c r="M137" s="62"/>
      <c r="N137" s="62"/>
      <c r="O137" s="62"/>
      <c r="P137" s="62"/>
      <c r="Q137" s="62"/>
      <c r="R137" s="62"/>
      <c r="S137" s="258"/>
      <c r="T137" s="248" t="str">
        <f t="shared" si="22"/>
        <v/>
      </c>
      <c r="U137" s="249" t="str">
        <f t="shared" si="23"/>
        <v/>
      </c>
      <c r="V137" s="294" t="str">
        <f t="shared" si="19"/>
        <v/>
      </c>
      <c r="W137" s="294" t="str">
        <f>IF(((E137="")+(F137="")),"",IF(VLOOKUP(F137,Mannschaften!$A$1:$B$54,2,FALSE)&lt;&gt;E137,"Reiter Mannschaften füllen",""))</f>
        <v/>
      </c>
      <c r="X137" s="248" t="str">
        <f>IF(ISBLANK(C137),"",IF((U137&gt;(LOOKUP(E137,WKNrListe,Übersicht!$O$7:$O$46)))+(U137&lt;(LOOKUP(E137,WKNrListe,Übersicht!$P$7:$P$46))),"JG falsch",""))</f>
        <v/>
      </c>
      <c r="Y137" s="255" t="str">
        <f>IF((A137="")*(B137=""),"",IF(ISERROR(MATCH(E137,WKNrListe,0)),"WK falsch",LOOKUP(E137,WKNrListe,Übersicht!$B$7:$B$46)))</f>
        <v/>
      </c>
      <c r="Z137" s="269" t="str">
        <f>IF(((AJ137=0)*(AH137&lt;&gt;"")*(AK137="-"))+((AJ137&lt;&gt;0)*(AH137&lt;&gt;"")*(AK137="-")),IF(AG137="X",Übersicht!$C$70,Übersicht!$C$69),"-")</f>
        <v>-</v>
      </c>
      <c r="AA137" s="252" t="str">
        <f>IF((($A137="")*($B137=""))+((MID($Y137,1,4)&lt;&gt;"Wahl")*(Deckblatt!$C$14='WK-Vorlagen'!$C$82))+(Deckblatt!$C$14&lt;&gt;'WK-Vorlagen'!$C$82),"",IF(ISERROR(MATCH(VALUE(MID(G137,1,2)),Schwierigkeitsstufen!$G$7:$G$19,0)),"Gerät falsch",LOOKUP(VALUE(MID(G137,1,2)),Schwierigkeitsstufen!$G$7:$G$19,Schwierigkeitsstufen!$H$7:$H$19)))</f>
        <v/>
      </c>
      <c r="AB137" s="250" t="str">
        <f>IF((($A137="")*($B137=""))+((MID($Y137,1,4)&lt;&gt;"Wahl")*(Deckblatt!$C$14='WK-Vorlagen'!$C$82))+(Deckblatt!$C$14&lt;&gt;'WK-Vorlagen'!$C$82),"",IF(ISERROR(MATCH(VALUE(MID(H137,1,2)),Schwierigkeitsstufen!$G$7:$G$19,0)),"Gerät falsch",LOOKUP(VALUE(MID(H137,1,2)),Schwierigkeitsstufen!$G$7:$G$19,Schwierigkeitsstufen!$H$7:$H$19)))</f>
        <v/>
      </c>
      <c r="AC137" s="250" t="str">
        <f>IF((($A137="")*($B137=""))+((MID($Y137,1,4)&lt;&gt;"Wahl")*(Deckblatt!$C$14='WK-Vorlagen'!$C$82))+(Deckblatt!$C$14&lt;&gt;'WK-Vorlagen'!$C$82),"",IF(ISERROR(MATCH(VALUE(MID(I137,1,2)),Schwierigkeitsstufen!$G$7:$G$19,0)),"Gerät falsch",LOOKUP(VALUE(MID(I137,1,2)),Schwierigkeitsstufen!$G$7:$G$19,Schwierigkeitsstufen!$H$7:$H$19)))</f>
        <v/>
      </c>
      <c r="AD137" s="251" t="str">
        <f>IF((($A137="")*($B137=""))+((MID($Y137,1,4)&lt;&gt;"Wahl")*(Deckblatt!$C$14='WK-Vorlagen'!$C$82))+(Deckblatt!$C$14&lt;&gt;'WK-Vorlagen'!$C$82),"",IF(ISERROR(MATCH(VALUE(MID(J137,1,2)),Schwierigkeitsstufen!$G$7:$G$19,0)),"Gerät falsch",LOOKUP(VALUE(MID(J137,1,2)),Schwierigkeitsstufen!$G$7:$G$19,Schwierigkeitsstufen!$H$7:$H$19)))</f>
        <v/>
      </c>
      <c r="AE137" s="211"/>
      <c r="AG137" s="221" t="str">
        <f t="shared" si="18"/>
        <v/>
      </c>
      <c r="AH137" s="222" t="str">
        <f t="shared" si="20"/>
        <v/>
      </c>
      <c r="AI137" s="220">
        <f t="shared" si="25"/>
        <v>4</v>
      </c>
      <c r="AJ137" s="222">
        <f t="shared" si="21"/>
        <v>0</v>
      </c>
      <c r="AK137" s="299" t="str">
        <f>IF(ISERROR(LOOKUP(E137,WKNrListe,Übersicht!$R$7:$R$46)),"-",LOOKUP(E137,WKNrListe,Übersicht!$R$7:$R$46))</f>
        <v>-</v>
      </c>
      <c r="AL137" s="299" t="str">
        <f t="shared" si="24"/>
        <v>-</v>
      </c>
      <c r="AM137" s="303"/>
      <c r="AN137" s="174" t="str">
        <f t="shared" si="17"/>
        <v>Leer</v>
      </c>
    </row>
    <row r="138" spans="1:40" s="174" customFormat="1" ht="15" customHeight="1">
      <c r="A138" s="63"/>
      <c r="B138" s="63"/>
      <c r="C138" s="84"/>
      <c r="D138" s="85"/>
      <c r="E138" s="62"/>
      <c r="F138" s="62"/>
      <c r="G138" s="62"/>
      <c r="H138" s="62"/>
      <c r="I138" s="62"/>
      <c r="J138" s="62"/>
      <c r="K138" s="62"/>
      <c r="L138" s="62"/>
      <c r="M138" s="62"/>
      <c r="N138" s="62"/>
      <c r="O138" s="62"/>
      <c r="P138" s="62"/>
      <c r="Q138" s="62"/>
      <c r="R138" s="62"/>
      <c r="S138" s="258"/>
      <c r="T138" s="248" t="str">
        <f t="shared" si="22"/>
        <v/>
      </c>
      <c r="U138" s="249" t="str">
        <f t="shared" si="23"/>
        <v/>
      </c>
      <c r="V138" s="294" t="str">
        <f t="shared" si="19"/>
        <v/>
      </c>
      <c r="W138" s="294" t="str">
        <f>IF(((E138="")+(F138="")),"",IF(VLOOKUP(F138,Mannschaften!$A$1:$B$54,2,FALSE)&lt;&gt;E138,"Reiter Mannschaften füllen",""))</f>
        <v/>
      </c>
      <c r="X138" s="248" t="str">
        <f>IF(ISBLANK(C138),"",IF((U138&gt;(LOOKUP(E138,WKNrListe,Übersicht!$O$7:$O$46)))+(U138&lt;(LOOKUP(E138,WKNrListe,Übersicht!$P$7:$P$46))),"JG falsch",""))</f>
        <v/>
      </c>
      <c r="Y138" s="255" t="str">
        <f>IF((A138="")*(B138=""),"",IF(ISERROR(MATCH(E138,WKNrListe,0)),"WK falsch",LOOKUP(E138,WKNrListe,Übersicht!$B$7:$B$46)))</f>
        <v/>
      </c>
      <c r="Z138" s="269" t="str">
        <f>IF(((AJ138=0)*(AH138&lt;&gt;"")*(AK138="-"))+((AJ138&lt;&gt;0)*(AH138&lt;&gt;"")*(AK138="-")),IF(AG138="X",Übersicht!$C$70,Übersicht!$C$69),"-")</f>
        <v>-</v>
      </c>
      <c r="AA138" s="252" t="str">
        <f>IF((($A138="")*($B138=""))+((MID($Y138,1,4)&lt;&gt;"Wahl")*(Deckblatt!$C$14='WK-Vorlagen'!$C$82))+(Deckblatt!$C$14&lt;&gt;'WK-Vorlagen'!$C$82),"",IF(ISERROR(MATCH(VALUE(MID(G138,1,2)),Schwierigkeitsstufen!$G$7:$G$19,0)),"Gerät falsch",LOOKUP(VALUE(MID(G138,1,2)),Schwierigkeitsstufen!$G$7:$G$19,Schwierigkeitsstufen!$H$7:$H$19)))</f>
        <v/>
      </c>
      <c r="AB138" s="250" t="str">
        <f>IF((($A138="")*($B138=""))+((MID($Y138,1,4)&lt;&gt;"Wahl")*(Deckblatt!$C$14='WK-Vorlagen'!$C$82))+(Deckblatt!$C$14&lt;&gt;'WK-Vorlagen'!$C$82),"",IF(ISERROR(MATCH(VALUE(MID(H138,1,2)),Schwierigkeitsstufen!$G$7:$G$19,0)),"Gerät falsch",LOOKUP(VALUE(MID(H138,1,2)),Schwierigkeitsstufen!$G$7:$G$19,Schwierigkeitsstufen!$H$7:$H$19)))</f>
        <v/>
      </c>
      <c r="AC138" s="250" t="str">
        <f>IF((($A138="")*($B138=""))+((MID($Y138,1,4)&lt;&gt;"Wahl")*(Deckblatt!$C$14='WK-Vorlagen'!$C$82))+(Deckblatt!$C$14&lt;&gt;'WK-Vorlagen'!$C$82),"",IF(ISERROR(MATCH(VALUE(MID(I138,1,2)),Schwierigkeitsstufen!$G$7:$G$19,0)),"Gerät falsch",LOOKUP(VALUE(MID(I138,1,2)),Schwierigkeitsstufen!$G$7:$G$19,Schwierigkeitsstufen!$H$7:$H$19)))</f>
        <v/>
      </c>
      <c r="AD138" s="251" t="str">
        <f>IF((($A138="")*($B138=""))+((MID($Y138,1,4)&lt;&gt;"Wahl")*(Deckblatt!$C$14='WK-Vorlagen'!$C$82))+(Deckblatt!$C$14&lt;&gt;'WK-Vorlagen'!$C$82),"",IF(ISERROR(MATCH(VALUE(MID(J138,1,2)),Schwierigkeitsstufen!$G$7:$G$19,0)),"Gerät falsch",LOOKUP(VALUE(MID(J138,1,2)),Schwierigkeitsstufen!$G$7:$G$19,Schwierigkeitsstufen!$H$7:$H$19)))</f>
        <v/>
      </c>
      <c r="AE138" s="211"/>
      <c r="AG138" s="221" t="str">
        <f t="shared" si="18"/>
        <v/>
      </c>
      <c r="AH138" s="222" t="str">
        <f t="shared" si="20"/>
        <v/>
      </c>
      <c r="AI138" s="220">
        <f t="shared" si="25"/>
        <v>4</v>
      </c>
      <c r="AJ138" s="222">
        <f t="shared" si="21"/>
        <v>0</v>
      </c>
      <c r="AK138" s="299" t="str">
        <f>IF(ISERROR(LOOKUP(E138,WKNrListe,Übersicht!$R$7:$R$46)),"-",LOOKUP(E138,WKNrListe,Übersicht!$R$7:$R$46))</f>
        <v>-</v>
      </c>
      <c r="AL138" s="299" t="str">
        <f t="shared" si="24"/>
        <v>-</v>
      </c>
      <c r="AM138" s="303"/>
      <c r="AN138" s="174" t="str">
        <f t="shared" si="17"/>
        <v>Leer</v>
      </c>
    </row>
    <row r="139" spans="1:40" s="174" customFormat="1" ht="15" customHeight="1">
      <c r="A139" s="63"/>
      <c r="B139" s="63"/>
      <c r="C139" s="84"/>
      <c r="D139" s="85"/>
      <c r="E139" s="62"/>
      <c r="F139" s="62"/>
      <c r="G139" s="62"/>
      <c r="H139" s="62"/>
      <c r="I139" s="62"/>
      <c r="J139" s="62"/>
      <c r="K139" s="62"/>
      <c r="L139" s="62"/>
      <c r="M139" s="62"/>
      <c r="N139" s="62"/>
      <c r="O139" s="62"/>
      <c r="P139" s="62"/>
      <c r="Q139" s="62"/>
      <c r="R139" s="62"/>
      <c r="S139" s="258"/>
      <c r="T139" s="248" t="str">
        <f t="shared" si="22"/>
        <v/>
      </c>
      <c r="U139" s="249" t="str">
        <f t="shared" si="23"/>
        <v/>
      </c>
      <c r="V139" s="294" t="str">
        <f t="shared" si="19"/>
        <v/>
      </c>
      <c r="W139" s="294" t="str">
        <f>IF(((E139="")+(F139="")),"",IF(VLOOKUP(F139,Mannschaften!$A$1:$B$54,2,FALSE)&lt;&gt;E139,"Reiter Mannschaften füllen",""))</f>
        <v/>
      </c>
      <c r="X139" s="248" t="str">
        <f>IF(ISBLANK(C139),"",IF((U139&gt;(LOOKUP(E139,WKNrListe,Übersicht!$O$7:$O$46)))+(U139&lt;(LOOKUP(E139,WKNrListe,Übersicht!$P$7:$P$46))),"JG falsch",""))</f>
        <v/>
      </c>
      <c r="Y139" s="255" t="str">
        <f>IF((A139="")*(B139=""),"",IF(ISERROR(MATCH(E139,WKNrListe,0)),"WK falsch",LOOKUP(E139,WKNrListe,Übersicht!$B$7:$B$46)))</f>
        <v/>
      </c>
      <c r="Z139" s="269" t="str">
        <f>IF(((AJ139=0)*(AH139&lt;&gt;"")*(AK139="-"))+((AJ139&lt;&gt;0)*(AH139&lt;&gt;"")*(AK139="-")),IF(AG139="X",Übersicht!$C$70,Übersicht!$C$69),"-")</f>
        <v>-</v>
      </c>
      <c r="AA139" s="252" t="str">
        <f>IF((($A139="")*($B139=""))+((MID($Y139,1,4)&lt;&gt;"Wahl")*(Deckblatt!$C$14='WK-Vorlagen'!$C$82))+(Deckblatt!$C$14&lt;&gt;'WK-Vorlagen'!$C$82),"",IF(ISERROR(MATCH(VALUE(MID(G139,1,2)),Schwierigkeitsstufen!$G$7:$G$19,0)),"Gerät falsch",LOOKUP(VALUE(MID(G139,1,2)),Schwierigkeitsstufen!$G$7:$G$19,Schwierigkeitsstufen!$H$7:$H$19)))</f>
        <v/>
      </c>
      <c r="AB139" s="250" t="str">
        <f>IF((($A139="")*($B139=""))+((MID($Y139,1,4)&lt;&gt;"Wahl")*(Deckblatt!$C$14='WK-Vorlagen'!$C$82))+(Deckblatt!$C$14&lt;&gt;'WK-Vorlagen'!$C$82),"",IF(ISERROR(MATCH(VALUE(MID(H139,1,2)),Schwierigkeitsstufen!$G$7:$G$19,0)),"Gerät falsch",LOOKUP(VALUE(MID(H139,1,2)),Schwierigkeitsstufen!$G$7:$G$19,Schwierigkeitsstufen!$H$7:$H$19)))</f>
        <v/>
      </c>
      <c r="AC139" s="250" t="str">
        <f>IF((($A139="")*($B139=""))+((MID($Y139,1,4)&lt;&gt;"Wahl")*(Deckblatt!$C$14='WK-Vorlagen'!$C$82))+(Deckblatt!$C$14&lt;&gt;'WK-Vorlagen'!$C$82),"",IF(ISERROR(MATCH(VALUE(MID(I139,1,2)),Schwierigkeitsstufen!$G$7:$G$19,0)),"Gerät falsch",LOOKUP(VALUE(MID(I139,1,2)),Schwierigkeitsstufen!$G$7:$G$19,Schwierigkeitsstufen!$H$7:$H$19)))</f>
        <v/>
      </c>
      <c r="AD139" s="251" t="str">
        <f>IF((($A139="")*($B139=""))+((MID($Y139,1,4)&lt;&gt;"Wahl")*(Deckblatt!$C$14='WK-Vorlagen'!$C$82))+(Deckblatt!$C$14&lt;&gt;'WK-Vorlagen'!$C$82),"",IF(ISERROR(MATCH(VALUE(MID(J139,1,2)),Schwierigkeitsstufen!$G$7:$G$19,0)),"Gerät falsch",LOOKUP(VALUE(MID(J139,1,2)),Schwierigkeitsstufen!$G$7:$G$19,Schwierigkeitsstufen!$H$7:$H$19)))</f>
        <v/>
      </c>
      <c r="AE139" s="211"/>
      <c r="AG139" s="221" t="str">
        <f t="shared" si="18"/>
        <v/>
      </c>
      <c r="AH139" s="222" t="str">
        <f t="shared" si="20"/>
        <v/>
      </c>
      <c r="AI139" s="220">
        <f t="shared" si="25"/>
        <v>4</v>
      </c>
      <c r="AJ139" s="222">
        <f t="shared" si="21"/>
        <v>0</v>
      </c>
      <c r="AK139" s="299" t="str">
        <f>IF(ISERROR(LOOKUP(E139,WKNrListe,Übersicht!$R$7:$R$46)),"-",LOOKUP(E139,WKNrListe,Übersicht!$R$7:$R$46))</f>
        <v>-</v>
      </c>
      <c r="AL139" s="299" t="str">
        <f t="shared" si="24"/>
        <v>-</v>
      </c>
      <c r="AM139" s="303"/>
      <c r="AN139" s="174" t="str">
        <f t="shared" si="17"/>
        <v>Leer</v>
      </c>
    </row>
    <row r="140" spans="1:40" s="174" customFormat="1" ht="15" customHeight="1">
      <c r="A140" s="63"/>
      <c r="B140" s="63"/>
      <c r="C140" s="84"/>
      <c r="D140" s="85"/>
      <c r="E140" s="62"/>
      <c r="F140" s="62"/>
      <c r="G140" s="62"/>
      <c r="H140" s="62"/>
      <c r="I140" s="62"/>
      <c r="J140" s="62"/>
      <c r="K140" s="62"/>
      <c r="L140" s="62"/>
      <c r="M140" s="62"/>
      <c r="N140" s="62"/>
      <c r="O140" s="62"/>
      <c r="P140" s="62"/>
      <c r="Q140" s="62"/>
      <c r="R140" s="62"/>
      <c r="S140" s="258"/>
      <c r="T140" s="248" t="str">
        <f t="shared" si="22"/>
        <v/>
      </c>
      <c r="U140" s="249" t="str">
        <f t="shared" si="23"/>
        <v/>
      </c>
      <c r="V140" s="294" t="str">
        <f t="shared" si="19"/>
        <v/>
      </c>
      <c r="W140" s="294" t="str">
        <f>IF(((E140="")+(F140="")),"",IF(VLOOKUP(F140,Mannschaften!$A$1:$B$54,2,FALSE)&lt;&gt;E140,"Reiter Mannschaften füllen",""))</f>
        <v/>
      </c>
      <c r="X140" s="248" t="str">
        <f>IF(ISBLANK(C140),"",IF((U140&gt;(LOOKUP(E140,WKNrListe,Übersicht!$O$7:$O$46)))+(U140&lt;(LOOKUP(E140,WKNrListe,Übersicht!$P$7:$P$46))),"JG falsch",""))</f>
        <v/>
      </c>
      <c r="Y140" s="255" t="str">
        <f>IF((A140="")*(B140=""),"",IF(ISERROR(MATCH(E140,WKNrListe,0)),"WK falsch",LOOKUP(E140,WKNrListe,Übersicht!$B$7:$B$46)))</f>
        <v/>
      </c>
      <c r="Z140" s="269" t="str">
        <f>IF(((AJ140=0)*(AH140&lt;&gt;"")*(AK140="-"))+((AJ140&lt;&gt;0)*(AH140&lt;&gt;"")*(AK140="-")),IF(AG140="X",Übersicht!$C$70,Übersicht!$C$69),"-")</f>
        <v>-</v>
      </c>
      <c r="AA140" s="252" t="str">
        <f>IF((($A140="")*($B140=""))+((MID($Y140,1,4)&lt;&gt;"Wahl")*(Deckblatt!$C$14='WK-Vorlagen'!$C$82))+(Deckblatt!$C$14&lt;&gt;'WK-Vorlagen'!$C$82),"",IF(ISERROR(MATCH(VALUE(MID(G140,1,2)),Schwierigkeitsstufen!$G$7:$G$19,0)),"Gerät falsch",LOOKUP(VALUE(MID(G140,1,2)),Schwierigkeitsstufen!$G$7:$G$19,Schwierigkeitsstufen!$H$7:$H$19)))</f>
        <v/>
      </c>
      <c r="AB140" s="250" t="str">
        <f>IF((($A140="")*($B140=""))+((MID($Y140,1,4)&lt;&gt;"Wahl")*(Deckblatt!$C$14='WK-Vorlagen'!$C$82))+(Deckblatt!$C$14&lt;&gt;'WK-Vorlagen'!$C$82),"",IF(ISERROR(MATCH(VALUE(MID(H140,1,2)),Schwierigkeitsstufen!$G$7:$G$19,0)),"Gerät falsch",LOOKUP(VALUE(MID(H140,1,2)),Schwierigkeitsstufen!$G$7:$G$19,Schwierigkeitsstufen!$H$7:$H$19)))</f>
        <v/>
      </c>
      <c r="AC140" s="250" t="str">
        <f>IF((($A140="")*($B140=""))+((MID($Y140,1,4)&lt;&gt;"Wahl")*(Deckblatt!$C$14='WK-Vorlagen'!$C$82))+(Deckblatt!$C$14&lt;&gt;'WK-Vorlagen'!$C$82),"",IF(ISERROR(MATCH(VALUE(MID(I140,1,2)),Schwierigkeitsstufen!$G$7:$G$19,0)),"Gerät falsch",LOOKUP(VALUE(MID(I140,1,2)),Schwierigkeitsstufen!$G$7:$G$19,Schwierigkeitsstufen!$H$7:$H$19)))</f>
        <v/>
      </c>
      <c r="AD140" s="251" t="str">
        <f>IF((($A140="")*($B140=""))+((MID($Y140,1,4)&lt;&gt;"Wahl")*(Deckblatt!$C$14='WK-Vorlagen'!$C$82))+(Deckblatt!$C$14&lt;&gt;'WK-Vorlagen'!$C$82),"",IF(ISERROR(MATCH(VALUE(MID(J140,1,2)),Schwierigkeitsstufen!$G$7:$G$19,0)),"Gerät falsch",LOOKUP(VALUE(MID(J140,1,2)),Schwierigkeitsstufen!$G$7:$G$19,Schwierigkeitsstufen!$H$7:$H$19)))</f>
        <v/>
      </c>
      <c r="AE140" s="211"/>
      <c r="AG140" s="221" t="str">
        <f t="shared" si="18"/>
        <v/>
      </c>
      <c r="AH140" s="222" t="str">
        <f t="shared" si="20"/>
        <v/>
      </c>
      <c r="AI140" s="220">
        <f t="shared" si="25"/>
        <v>4</v>
      </c>
      <c r="AJ140" s="222">
        <f t="shared" si="21"/>
        <v>0</v>
      </c>
      <c r="AK140" s="299" t="str">
        <f>IF(ISERROR(LOOKUP(E140,WKNrListe,Übersicht!$R$7:$R$46)),"-",LOOKUP(E140,WKNrListe,Übersicht!$R$7:$R$46))</f>
        <v>-</v>
      </c>
      <c r="AL140" s="299" t="str">
        <f t="shared" si="24"/>
        <v>-</v>
      </c>
      <c r="AM140" s="303"/>
      <c r="AN140" s="174" t="str">
        <f t="shared" si="17"/>
        <v>Leer</v>
      </c>
    </row>
    <row r="141" spans="1:40" s="174" customFormat="1" ht="15" customHeight="1">
      <c r="A141" s="63"/>
      <c r="B141" s="63"/>
      <c r="C141" s="84"/>
      <c r="D141" s="85"/>
      <c r="E141" s="62"/>
      <c r="F141" s="62"/>
      <c r="G141" s="62"/>
      <c r="H141" s="62"/>
      <c r="I141" s="62"/>
      <c r="J141" s="62"/>
      <c r="K141" s="62"/>
      <c r="L141" s="62"/>
      <c r="M141" s="62"/>
      <c r="N141" s="62"/>
      <c r="O141" s="62"/>
      <c r="P141" s="62"/>
      <c r="Q141" s="62"/>
      <c r="R141" s="62"/>
      <c r="S141" s="258"/>
      <c r="T141" s="248" t="str">
        <f t="shared" si="22"/>
        <v/>
      </c>
      <c r="U141" s="249" t="str">
        <f t="shared" si="23"/>
        <v/>
      </c>
      <c r="V141" s="294" t="str">
        <f t="shared" si="19"/>
        <v/>
      </c>
      <c r="W141" s="294" t="str">
        <f>IF(((E141="")+(F141="")),"",IF(VLOOKUP(F141,Mannschaften!$A$1:$B$54,2,FALSE)&lt;&gt;E141,"Reiter Mannschaften füllen",""))</f>
        <v/>
      </c>
      <c r="X141" s="248" t="str">
        <f>IF(ISBLANK(C141),"",IF((U141&gt;(LOOKUP(E141,WKNrListe,Übersicht!$O$7:$O$46)))+(U141&lt;(LOOKUP(E141,WKNrListe,Übersicht!$P$7:$P$46))),"JG falsch",""))</f>
        <v/>
      </c>
      <c r="Y141" s="255" t="str">
        <f>IF((A141="")*(B141=""),"",IF(ISERROR(MATCH(E141,WKNrListe,0)),"WK falsch",LOOKUP(E141,WKNrListe,Übersicht!$B$7:$B$46)))</f>
        <v/>
      </c>
      <c r="Z141" s="269" t="str">
        <f>IF(((AJ141=0)*(AH141&lt;&gt;"")*(AK141="-"))+((AJ141&lt;&gt;0)*(AH141&lt;&gt;"")*(AK141="-")),IF(AG141="X",Übersicht!$C$70,Übersicht!$C$69),"-")</f>
        <v>-</v>
      </c>
      <c r="AA141" s="252" t="str">
        <f>IF((($A141="")*($B141=""))+((MID($Y141,1,4)&lt;&gt;"Wahl")*(Deckblatt!$C$14='WK-Vorlagen'!$C$82))+(Deckblatt!$C$14&lt;&gt;'WK-Vorlagen'!$C$82),"",IF(ISERROR(MATCH(VALUE(MID(G141,1,2)),Schwierigkeitsstufen!$G$7:$G$19,0)),"Gerät falsch",LOOKUP(VALUE(MID(G141,1,2)),Schwierigkeitsstufen!$G$7:$G$19,Schwierigkeitsstufen!$H$7:$H$19)))</f>
        <v/>
      </c>
      <c r="AB141" s="250" t="str">
        <f>IF((($A141="")*($B141=""))+((MID($Y141,1,4)&lt;&gt;"Wahl")*(Deckblatt!$C$14='WK-Vorlagen'!$C$82))+(Deckblatt!$C$14&lt;&gt;'WK-Vorlagen'!$C$82),"",IF(ISERROR(MATCH(VALUE(MID(H141,1,2)),Schwierigkeitsstufen!$G$7:$G$19,0)),"Gerät falsch",LOOKUP(VALUE(MID(H141,1,2)),Schwierigkeitsstufen!$G$7:$G$19,Schwierigkeitsstufen!$H$7:$H$19)))</f>
        <v/>
      </c>
      <c r="AC141" s="250" t="str">
        <f>IF((($A141="")*($B141=""))+((MID($Y141,1,4)&lt;&gt;"Wahl")*(Deckblatt!$C$14='WK-Vorlagen'!$C$82))+(Deckblatt!$C$14&lt;&gt;'WK-Vorlagen'!$C$82),"",IF(ISERROR(MATCH(VALUE(MID(I141,1,2)),Schwierigkeitsstufen!$G$7:$G$19,0)),"Gerät falsch",LOOKUP(VALUE(MID(I141,1,2)),Schwierigkeitsstufen!$G$7:$G$19,Schwierigkeitsstufen!$H$7:$H$19)))</f>
        <v/>
      </c>
      <c r="AD141" s="251" t="str">
        <f>IF((($A141="")*($B141=""))+((MID($Y141,1,4)&lt;&gt;"Wahl")*(Deckblatt!$C$14='WK-Vorlagen'!$C$82))+(Deckblatt!$C$14&lt;&gt;'WK-Vorlagen'!$C$82),"",IF(ISERROR(MATCH(VALUE(MID(J141,1,2)),Schwierigkeitsstufen!$G$7:$G$19,0)),"Gerät falsch",LOOKUP(VALUE(MID(J141,1,2)),Schwierigkeitsstufen!$G$7:$G$19,Schwierigkeitsstufen!$H$7:$H$19)))</f>
        <v/>
      </c>
      <c r="AE141" s="211"/>
      <c r="AG141" s="221" t="str">
        <f t="shared" si="18"/>
        <v/>
      </c>
      <c r="AH141" s="222" t="str">
        <f t="shared" si="20"/>
        <v/>
      </c>
      <c r="AI141" s="220">
        <f t="shared" si="25"/>
        <v>4</v>
      </c>
      <c r="AJ141" s="222">
        <f t="shared" si="21"/>
        <v>0</v>
      </c>
      <c r="AK141" s="299" t="str">
        <f>IF(ISERROR(LOOKUP(E141,WKNrListe,Übersicht!$R$7:$R$46)),"-",LOOKUP(E141,WKNrListe,Übersicht!$R$7:$R$46))</f>
        <v>-</v>
      </c>
      <c r="AL141" s="299" t="str">
        <f t="shared" si="24"/>
        <v>-</v>
      </c>
      <c r="AM141" s="303"/>
      <c r="AN141" s="174" t="str">
        <f t="shared" si="17"/>
        <v>Leer</v>
      </c>
    </row>
    <row r="142" spans="1:40" s="174" customFormat="1" ht="15" customHeight="1">
      <c r="A142" s="63"/>
      <c r="B142" s="63"/>
      <c r="C142" s="84"/>
      <c r="D142" s="85"/>
      <c r="E142" s="62"/>
      <c r="F142" s="62"/>
      <c r="G142" s="62"/>
      <c r="H142" s="62"/>
      <c r="I142" s="62"/>
      <c r="J142" s="62"/>
      <c r="K142" s="62"/>
      <c r="L142" s="62"/>
      <c r="M142" s="62"/>
      <c r="N142" s="62"/>
      <c r="O142" s="62"/>
      <c r="P142" s="62"/>
      <c r="Q142" s="62"/>
      <c r="R142" s="62"/>
      <c r="S142" s="258"/>
      <c r="T142" s="248" t="str">
        <f t="shared" si="22"/>
        <v/>
      </c>
      <c r="U142" s="249" t="str">
        <f t="shared" si="23"/>
        <v/>
      </c>
      <c r="V142" s="294" t="str">
        <f t="shared" si="19"/>
        <v/>
      </c>
      <c r="W142" s="294" t="str">
        <f>IF(((E142="")+(F142="")),"",IF(VLOOKUP(F142,Mannschaften!$A$1:$B$54,2,FALSE)&lt;&gt;E142,"Reiter Mannschaften füllen",""))</f>
        <v/>
      </c>
      <c r="X142" s="248" t="str">
        <f>IF(ISBLANK(C142),"",IF((U142&gt;(LOOKUP(E142,WKNrListe,Übersicht!$O$7:$O$46)))+(U142&lt;(LOOKUP(E142,WKNrListe,Übersicht!$P$7:$P$46))),"JG falsch",""))</f>
        <v/>
      </c>
      <c r="Y142" s="255" t="str">
        <f>IF((A142="")*(B142=""),"",IF(ISERROR(MATCH(E142,WKNrListe,0)),"WK falsch",LOOKUP(E142,WKNrListe,Übersicht!$B$7:$B$46)))</f>
        <v/>
      </c>
      <c r="Z142" s="269" t="str">
        <f>IF(((AJ142=0)*(AH142&lt;&gt;"")*(AK142="-"))+((AJ142&lt;&gt;0)*(AH142&lt;&gt;"")*(AK142="-")),IF(AG142="X",Übersicht!$C$70,Übersicht!$C$69),"-")</f>
        <v>-</v>
      </c>
      <c r="AA142" s="252" t="str">
        <f>IF((($A142="")*($B142=""))+((MID($Y142,1,4)&lt;&gt;"Wahl")*(Deckblatt!$C$14='WK-Vorlagen'!$C$82))+(Deckblatt!$C$14&lt;&gt;'WK-Vorlagen'!$C$82),"",IF(ISERROR(MATCH(VALUE(MID(G142,1,2)),Schwierigkeitsstufen!$G$7:$G$19,0)),"Gerät falsch",LOOKUP(VALUE(MID(G142,1,2)),Schwierigkeitsstufen!$G$7:$G$19,Schwierigkeitsstufen!$H$7:$H$19)))</f>
        <v/>
      </c>
      <c r="AB142" s="250" t="str">
        <f>IF((($A142="")*($B142=""))+((MID($Y142,1,4)&lt;&gt;"Wahl")*(Deckblatt!$C$14='WK-Vorlagen'!$C$82))+(Deckblatt!$C$14&lt;&gt;'WK-Vorlagen'!$C$82),"",IF(ISERROR(MATCH(VALUE(MID(H142,1,2)),Schwierigkeitsstufen!$G$7:$G$19,0)),"Gerät falsch",LOOKUP(VALUE(MID(H142,1,2)),Schwierigkeitsstufen!$G$7:$G$19,Schwierigkeitsstufen!$H$7:$H$19)))</f>
        <v/>
      </c>
      <c r="AC142" s="250" t="str">
        <f>IF((($A142="")*($B142=""))+((MID($Y142,1,4)&lt;&gt;"Wahl")*(Deckblatt!$C$14='WK-Vorlagen'!$C$82))+(Deckblatt!$C$14&lt;&gt;'WK-Vorlagen'!$C$82),"",IF(ISERROR(MATCH(VALUE(MID(I142,1,2)),Schwierigkeitsstufen!$G$7:$G$19,0)),"Gerät falsch",LOOKUP(VALUE(MID(I142,1,2)),Schwierigkeitsstufen!$G$7:$G$19,Schwierigkeitsstufen!$H$7:$H$19)))</f>
        <v/>
      </c>
      <c r="AD142" s="251" t="str">
        <f>IF((($A142="")*($B142=""))+((MID($Y142,1,4)&lt;&gt;"Wahl")*(Deckblatt!$C$14='WK-Vorlagen'!$C$82))+(Deckblatt!$C$14&lt;&gt;'WK-Vorlagen'!$C$82),"",IF(ISERROR(MATCH(VALUE(MID(J142,1,2)),Schwierigkeitsstufen!$G$7:$G$19,0)),"Gerät falsch",LOOKUP(VALUE(MID(J142,1,2)),Schwierigkeitsstufen!$G$7:$G$19,Schwierigkeitsstufen!$H$7:$H$19)))</f>
        <v/>
      </c>
      <c r="AE142" s="211"/>
      <c r="AG142" s="221" t="str">
        <f t="shared" si="18"/>
        <v/>
      </c>
      <c r="AH142" s="222" t="str">
        <f t="shared" si="20"/>
        <v/>
      </c>
      <c r="AI142" s="220">
        <f t="shared" si="25"/>
        <v>4</v>
      </c>
      <c r="AJ142" s="222">
        <f t="shared" si="21"/>
        <v>0</v>
      </c>
      <c r="AK142" s="299" t="str">
        <f>IF(ISERROR(LOOKUP(E142,WKNrListe,Übersicht!$R$7:$R$46)),"-",LOOKUP(E142,WKNrListe,Übersicht!$R$7:$R$46))</f>
        <v>-</v>
      </c>
      <c r="AL142" s="299" t="str">
        <f t="shared" si="24"/>
        <v>-</v>
      </c>
      <c r="AM142" s="303"/>
      <c r="AN142" s="174" t="str">
        <f t="shared" si="17"/>
        <v>Leer</v>
      </c>
    </row>
    <row r="143" spans="1:40" s="174" customFormat="1" ht="15" customHeight="1">
      <c r="A143" s="63"/>
      <c r="B143" s="63"/>
      <c r="C143" s="84"/>
      <c r="D143" s="85"/>
      <c r="E143" s="62"/>
      <c r="F143" s="62"/>
      <c r="G143" s="62"/>
      <c r="H143" s="62"/>
      <c r="I143" s="62"/>
      <c r="J143" s="62"/>
      <c r="K143" s="62"/>
      <c r="L143" s="62"/>
      <c r="M143" s="62"/>
      <c r="N143" s="62"/>
      <c r="O143" s="62"/>
      <c r="P143" s="62"/>
      <c r="Q143" s="62"/>
      <c r="R143" s="62"/>
      <c r="S143" s="258"/>
      <c r="T143" s="248" t="str">
        <f t="shared" si="22"/>
        <v/>
      </c>
      <c r="U143" s="249" t="str">
        <f t="shared" si="23"/>
        <v/>
      </c>
      <c r="V143" s="294" t="str">
        <f t="shared" si="19"/>
        <v/>
      </c>
      <c r="W143" s="294" t="str">
        <f>IF(((E143="")+(F143="")),"",IF(VLOOKUP(F143,Mannschaften!$A$1:$B$54,2,FALSE)&lt;&gt;E143,"Reiter Mannschaften füllen",""))</f>
        <v/>
      </c>
      <c r="X143" s="248" t="str">
        <f>IF(ISBLANK(C143),"",IF((U143&gt;(LOOKUP(E143,WKNrListe,Übersicht!$O$7:$O$46)))+(U143&lt;(LOOKUP(E143,WKNrListe,Übersicht!$P$7:$P$46))),"JG falsch",""))</f>
        <v/>
      </c>
      <c r="Y143" s="255" t="str">
        <f>IF((A143="")*(B143=""),"",IF(ISERROR(MATCH(E143,WKNrListe,0)),"WK falsch",LOOKUP(E143,WKNrListe,Übersicht!$B$7:$B$46)))</f>
        <v/>
      </c>
      <c r="Z143" s="269" t="str">
        <f>IF(((AJ143=0)*(AH143&lt;&gt;"")*(AK143="-"))+((AJ143&lt;&gt;0)*(AH143&lt;&gt;"")*(AK143="-")),IF(AG143="X",Übersicht!$C$70,Übersicht!$C$69),"-")</f>
        <v>-</v>
      </c>
      <c r="AA143" s="252" t="str">
        <f>IF((($A143="")*($B143=""))+((MID($Y143,1,4)&lt;&gt;"Wahl")*(Deckblatt!$C$14='WK-Vorlagen'!$C$82))+(Deckblatt!$C$14&lt;&gt;'WK-Vorlagen'!$C$82),"",IF(ISERROR(MATCH(VALUE(MID(G143,1,2)),Schwierigkeitsstufen!$G$7:$G$19,0)),"Gerät falsch",LOOKUP(VALUE(MID(G143,1,2)),Schwierigkeitsstufen!$G$7:$G$19,Schwierigkeitsstufen!$H$7:$H$19)))</f>
        <v/>
      </c>
      <c r="AB143" s="250" t="str">
        <f>IF((($A143="")*($B143=""))+((MID($Y143,1,4)&lt;&gt;"Wahl")*(Deckblatt!$C$14='WK-Vorlagen'!$C$82))+(Deckblatt!$C$14&lt;&gt;'WK-Vorlagen'!$C$82),"",IF(ISERROR(MATCH(VALUE(MID(H143,1,2)),Schwierigkeitsstufen!$G$7:$G$19,0)),"Gerät falsch",LOOKUP(VALUE(MID(H143,1,2)),Schwierigkeitsstufen!$G$7:$G$19,Schwierigkeitsstufen!$H$7:$H$19)))</f>
        <v/>
      </c>
      <c r="AC143" s="250" t="str">
        <f>IF((($A143="")*($B143=""))+((MID($Y143,1,4)&lt;&gt;"Wahl")*(Deckblatt!$C$14='WK-Vorlagen'!$C$82))+(Deckblatt!$C$14&lt;&gt;'WK-Vorlagen'!$C$82),"",IF(ISERROR(MATCH(VALUE(MID(I143,1,2)),Schwierigkeitsstufen!$G$7:$G$19,0)),"Gerät falsch",LOOKUP(VALUE(MID(I143,1,2)),Schwierigkeitsstufen!$G$7:$G$19,Schwierigkeitsstufen!$H$7:$H$19)))</f>
        <v/>
      </c>
      <c r="AD143" s="251" t="str">
        <f>IF((($A143="")*($B143=""))+((MID($Y143,1,4)&lt;&gt;"Wahl")*(Deckblatt!$C$14='WK-Vorlagen'!$C$82))+(Deckblatt!$C$14&lt;&gt;'WK-Vorlagen'!$C$82),"",IF(ISERROR(MATCH(VALUE(MID(J143,1,2)),Schwierigkeitsstufen!$G$7:$G$19,0)),"Gerät falsch",LOOKUP(VALUE(MID(J143,1,2)),Schwierigkeitsstufen!$G$7:$G$19,Schwierigkeitsstufen!$H$7:$H$19)))</f>
        <v/>
      </c>
      <c r="AE143" s="211"/>
      <c r="AG143" s="221" t="str">
        <f t="shared" si="18"/>
        <v/>
      </c>
      <c r="AH143" s="222" t="str">
        <f t="shared" si="20"/>
        <v/>
      </c>
      <c r="AI143" s="220">
        <f t="shared" si="25"/>
        <v>4</v>
      </c>
      <c r="AJ143" s="222">
        <f t="shared" si="21"/>
        <v>0</v>
      </c>
      <c r="AK143" s="299" t="str">
        <f>IF(ISERROR(LOOKUP(E143,WKNrListe,Übersicht!$R$7:$R$46)),"-",LOOKUP(E143,WKNrListe,Übersicht!$R$7:$R$46))</f>
        <v>-</v>
      </c>
      <c r="AL143" s="299" t="str">
        <f t="shared" si="24"/>
        <v>-</v>
      </c>
      <c r="AM143" s="303"/>
      <c r="AN143" s="174" t="str">
        <f t="shared" si="17"/>
        <v>Leer</v>
      </c>
    </row>
    <row r="144" spans="1:40" s="174" customFormat="1" ht="15" customHeight="1">
      <c r="A144" s="63"/>
      <c r="B144" s="63"/>
      <c r="C144" s="84"/>
      <c r="D144" s="85"/>
      <c r="E144" s="62"/>
      <c r="F144" s="62"/>
      <c r="G144" s="62"/>
      <c r="H144" s="62"/>
      <c r="I144" s="62"/>
      <c r="J144" s="62"/>
      <c r="K144" s="62"/>
      <c r="L144" s="62"/>
      <c r="M144" s="62"/>
      <c r="N144" s="62"/>
      <c r="O144" s="62"/>
      <c r="P144" s="62"/>
      <c r="Q144" s="62"/>
      <c r="R144" s="62"/>
      <c r="S144" s="258"/>
      <c r="T144" s="248" t="str">
        <f t="shared" si="22"/>
        <v/>
      </c>
      <c r="U144" s="249" t="str">
        <f t="shared" si="23"/>
        <v/>
      </c>
      <c r="V144" s="294" t="str">
        <f t="shared" si="19"/>
        <v/>
      </c>
      <c r="W144" s="294" t="str">
        <f>IF(((E144="")+(F144="")),"",IF(VLOOKUP(F144,Mannschaften!$A$1:$B$54,2,FALSE)&lt;&gt;E144,"Reiter Mannschaften füllen",""))</f>
        <v/>
      </c>
      <c r="X144" s="248" t="str">
        <f>IF(ISBLANK(C144),"",IF((U144&gt;(LOOKUP(E144,WKNrListe,Übersicht!$O$7:$O$46)))+(U144&lt;(LOOKUP(E144,WKNrListe,Übersicht!$P$7:$P$46))),"JG falsch",""))</f>
        <v/>
      </c>
      <c r="Y144" s="255" t="str">
        <f>IF((A144="")*(B144=""),"",IF(ISERROR(MATCH(E144,WKNrListe,0)),"WK falsch",LOOKUP(E144,WKNrListe,Übersicht!$B$7:$B$46)))</f>
        <v/>
      </c>
      <c r="Z144" s="269" t="str">
        <f>IF(((AJ144=0)*(AH144&lt;&gt;"")*(AK144="-"))+((AJ144&lt;&gt;0)*(AH144&lt;&gt;"")*(AK144="-")),IF(AG144="X",Übersicht!$C$70,Übersicht!$C$69),"-")</f>
        <v>-</v>
      </c>
      <c r="AA144" s="252" t="str">
        <f>IF((($A144="")*($B144=""))+((MID($Y144,1,4)&lt;&gt;"Wahl")*(Deckblatt!$C$14='WK-Vorlagen'!$C$82))+(Deckblatt!$C$14&lt;&gt;'WK-Vorlagen'!$C$82),"",IF(ISERROR(MATCH(VALUE(MID(G144,1,2)),Schwierigkeitsstufen!$G$7:$G$19,0)),"Gerät falsch",LOOKUP(VALUE(MID(G144,1,2)),Schwierigkeitsstufen!$G$7:$G$19,Schwierigkeitsstufen!$H$7:$H$19)))</f>
        <v/>
      </c>
      <c r="AB144" s="250" t="str">
        <f>IF((($A144="")*($B144=""))+((MID($Y144,1,4)&lt;&gt;"Wahl")*(Deckblatt!$C$14='WK-Vorlagen'!$C$82))+(Deckblatt!$C$14&lt;&gt;'WK-Vorlagen'!$C$82),"",IF(ISERROR(MATCH(VALUE(MID(H144,1,2)),Schwierigkeitsstufen!$G$7:$G$19,0)),"Gerät falsch",LOOKUP(VALUE(MID(H144,1,2)),Schwierigkeitsstufen!$G$7:$G$19,Schwierigkeitsstufen!$H$7:$H$19)))</f>
        <v/>
      </c>
      <c r="AC144" s="250" t="str">
        <f>IF((($A144="")*($B144=""))+((MID($Y144,1,4)&lt;&gt;"Wahl")*(Deckblatt!$C$14='WK-Vorlagen'!$C$82))+(Deckblatt!$C$14&lt;&gt;'WK-Vorlagen'!$C$82),"",IF(ISERROR(MATCH(VALUE(MID(I144,1,2)),Schwierigkeitsstufen!$G$7:$G$19,0)),"Gerät falsch",LOOKUP(VALUE(MID(I144,1,2)),Schwierigkeitsstufen!$G$7:$G$19,Schwierigkeitsstufen!$H$7:$H$19)))</f>
        <v/>
      </c>
      <c r="AD144" s="251" t="str">
        <f>IF((($A144="")*($B144=""))+((MID($Y144,1,4)&lt;&gt;"Wahl")*(Deckblatt!$C$14='WK-Vorlagen'!$C$82))+(Deckblatt!$C$14&lt;&gt;'WK-Vorlagen'!$C$82),"",IF(ISERROR(MATCH(VALUE(MID(J144,1,2)),Schwierigkeitsstufen!$G$7:$G$19,0)),"Gerät falsch",LOOKUP(VALUE(MID(J144,1,2)),Schwierigkeitsstufen!$G$7:$G$19,Schwierigkeitsstufen!$H$7:$H$19)))</f>
        <v/>
      </c>
      <c r="AE144" s="211"/>
      <c r="AG144" s="221" t="str">
        <f t="shared" si="18"/>
        <v/>
      </c>
      <c r="AH144" s="222" t="str">
        <f t="shared" si="20"/>
        <v/>
      </c>
      <c r="AI144" s="220">
        <f t="shared" si="25"/>
        <v>4</v>
      </c>
      <c r="AJ144" s="222">
        <f t="shared" si="21"/>
        <v>0</v>
      </c>
      <c r="AK144" s="299" t="str">
        <f>IF(ISERROR(LOOKUP(E144,WKNrListe,Übersicht!$R$7:$R$46)),"-",LOOKUP(E144,WKNrListe,Übersicht!$R$7:$R$46))</f>
        <v>-</v>
      </c>
      <c r="AL144" s="299" t="str">
        <f t="shared" si="24"/>
        <v>-</v>
      </c>
      <c r="AM144" s="303"/>
      <c r="AN144" s="174" t="str">
        <f t="shared" si="17"/>
        <v>Leer</v>
      </c>
    </row>
    <row r="145" spans="1:40" s="174" customFormat="1" ht="15" customHeight="1">
      <c r="A145" s="63"/>
      <c r="B145" s="63"/>
      <c r="C145" s="84"/>
      <c r="D145" s="85"/>
      <c r="E145" s="62"/>
      <c r="F145" s="62"/>
      <c r="G145" s="62"/>
      <c r="H145" s="62"/>
      <c r="I145" s="62"/>
      <c r="J145" s="62"/>
      <c r="K145" s="62"/>
      <c r="L145" s="62"/>
      <c r="M145" s="62"/>
      <c r="N145" s="62"/>
      <c r="O145" s="62"/>
      <c r="P145" s="62"/>
      <c r="Q145" s="62"/>
      <c r="R145" s="62"/>
      <c r="S145" s="258"/>
      <c r="T145" s="248" t="str">
        <f t="shared" si="22"/>
        <v/>
      </c>
      <c r="U145" s="249" t="str">
        <f t="shared" si="23"/>
        <v/>
      </c>
      <c r="V145" s="294" t="str">
        <f t="shared" si="19"/>
        <v/>
      </c>
      <c r="W145" s="294" t="str">
        <f>IF(((E145="")+(F145="")),"",IF(VLOOKUP(F145,Mannschaften!$A$1:$B$54,2,FALSE)&lt;&gt;E145,"Reiter Mannschaften füllen",""))</f>
        <v/>
      </c>
      <c r="X145" s="248" t="str">
        <f>IF(ISBLANK(C145),"",IF((U145&gt;(LOOKUP(E145,WKNrListe,Übersicht!$O$7:$O$46)))+(U145&lt;(LOOKUP(E145,WKNrListe,Übersicht!$P$7:$P$46))),"JG falsch",""))</f>
        <v/>
      </c>
      <c r="Y145" s="255" t="str">
        <f>IF((A145="")*(B145=""),"",IF(ISERROR(MATCH(E145,WKNrListe,0)),"WK falsch",LOOKUP(E145,WKNrListe,Übersicht!$B$7:$B$46)))</f>
        <v/>
      </c>
      <c r="Z145" s="269" t="str">
        <f>IF(((AJ145=0)*(AH145&lt;&gt;"")*(AK145="-"))+((AJ145&lt;&gt;0)*(AH145&lt;&gt;"")*(AK145="-")),IF(AG145="X",Übersicht!$C$70,Übersicht!$C$69),"-")</f>
        <v>-</v>
      </c>
      <c r="AA145" s="252" t="str">
        <f>IF((($A145="")*($B145=""))+((MID($Y145,1,4)&lt;&gt;"Wahl")*(Deckblatt!$C$14='WK-Vorlagen'!$C$82))+(Deckblatt!$C$14&lt;&gt;'WK-Vorlagen'!$C$82),"",IF(ISERROR(MATCH(VALUE(MID(G145,1,2)),Schwierigkeitsstufen!$G$7:$G$19,0)),"Gerät falsch",LOOKUP(VALUE(MID(G145,1,2)),Schwierigkeitsstufen!$G$7:$G$19,Schwierigkeitsstufen!$H$7:$H$19)))</f>
        <v/>
      </c>
      <c r="AB145" s="250" t="str">
        <f>IF((($A145="")*($B145=""))+((MID($Y145,1,4)&lt;&gt;"Wahl")*(Deckblatt!$C$14='WK-Vorlagen'!$C$82))+(Deckblatt!$C$14&lt;&gt;'WK-Vorlagen'!$C$82),"",IF(ISERROR(MATCH(VALUE(MID(H145,1,2)),Schwierigkeitsstufen!$G$7:$G$19,0)),"Gerät falsch",LOOKUP(VALUE(MID(H145,1,2)),Schwierigkeitsstufen!$G$7:$G$19,Schwierigkeitsstufen!$H$7:$H$19)))</f>
        <v/>
      </c>
      <c r="AC145" s="250" t="str">
        <f>IF((($A145="")*($B145=""))+((MID($Y145,1,4)&lt;&gt;"Wahl")*(Deckblatt!$C$14='WK-Vorlagen'!$C$82))+(Deckblatt!$C$14&lt;&gt;'WK-Vorlagen'!$C$82),"",IF(ISERROR(MATCH(VALUE(MID(I145,1,2)),Schwierigkeitsstufen!$G$7:$G$19,0)),"Gerät falsch",LOOKUP(VALUE(MID(I145,1,2)),Schwierigkeitsstufen!$G$7:$G$19,Schwierigkeitsstufen!$H$7:$H$19)))</f>
        <v/>
      </c>
      <c r="AD145" s="251" t="str">
        <f>IF((($A145="")*($B145=""))+((MID($Y145,1,4)&lt;&gt;"Wahl")*(Deckblatt!$C$14='WK-Vorlagen'!$C$82))+(Deckblatt!$C$14&lt;&gt;'WK-Vorlagen'!$C$82),"",IF(ISERROR(MATCH(VALUE(MID(J145,1,2)),Schwierigkeitsstufen!$G$7:$G$19,0)),"Gerät falsch",LOOKUP(VALUE(MID(J145,1,2)),Schwierigkeitsstufen!$G$7:$G$19,Schwierigkeitsstufen!$H$7:$H$19)))</f>
        <v/>
      </c>
      <c r="AE145" s="211"/>
      <c r="AG145" s="221" t="str">
        <f t="shared" si="18"/>
        <v/>
      </c>
      <c r="AH145" s="222" t="str">
        <f t="shared" si="20"/>
        <v/>
      </c>
      <c r="AI145" s="220">
        <f t="shared" si="25"/>
        <v>4</v>
      </c>
      <c r="AJ145" s="222">
        <f t="shared" si="21"/>
        <v>0</v>
      </c>
      <c r="AK145" s="299" t="str">
        <f>IF(ISERROR(LOOKUP(E145,WKNrListe,Übersicht!$R$7:$R$46)),"-",LOOKUP(E145,WKNrListe,Übersicht!$R$7:$R$46))</f>
        <v>-</v>
      </c>
      <c r="AL145" s="299" t="str">
        <f t="shared" si="24"/>
        <v>-</v>
      </c>
      <c r="AM145" s="303"/>
      <c r="AN145" s="174" t="str">
        <f t="shared" si="17"/>
        <v>Leer</v>
      </c>
    </row>
    <row r="146" spans="1:40" s="174" customFormat="1" ht="15" customHeight="1">
      <c r="A146" s="63"/>
      <c r="B146" s="63"/>
      <c r="C146" s="84"/>
      <c r="D146" s="85"/>
      <c r="E146" s="62"/>
      <c r="F146" s="62"/>
      <c r="G146" s="62"/>
      <c r="H146" s="62"/>
      <c r="I146" s="62"/>
      <c r="J146" s="62"/>
      <c r="K146" s="62"/>
      <c r="L146" s="62"/>
      <c r="M146" s="62"/>
      <c r="N146" s="62"/>
      <c r="O146" s="62"/>
      <c r="P146" s="62"/>
      <c r="Q146" s="62"/>
      <c r="R146" s="62"/>
      <c r="S146" s="258"/>
      <c r="T146" s="248" t="str">
        <f t="shared" si="22"/>
        <v/>
      </c>
      <c r="U146" s="249" t="str">
        <f t="shared" si="23"/>
        <v/>
      </c>
      <c r="V146" s="294" t="str">
        <f t="shared" si="19"/>
        <v/>
      </c>
      <c r="W146" s="294" t="str">
        <f>IF(((E146="")+(F146="")),"",IF(VLOOKUP(F146,Mannschaften!$A$1:$B$54,2,FALSE)&lt;&gt;E146,"Reiter Mannschaften füllen",""))</f>
        <v/>
      </c>
      <c r="X146" s="248" t="str">
        <f>IF(ISBLANK(C146),"",IF((U146&gt;(LOOKUP(E146,WKNrListe,Übersicht!$O$7:$O$46)))+(U146&lt;(LOOKUP(E146,WKNrListe,Übersicht!$P$7:$P$46))),"JG falsch",""))</f>
        <v/>
      </c>
      <c r="Y146" s="255" t="str">
        <f>IF((A146="")*(B146=""),"",IF(ISERROR(MATCH(E146,WKNrListe,0)),"WK falsch",LOOKUP(E146,WKNrListe,Übersicht!$B$7:$B$46)))</f>
        <v/>
      </c>
      <c r="Z146" s="269" t="str">
        <f>IF(((AJ146=0)*(AH146&lt;&gt;"")*(AK146="-"))+((AJ146&lt;&gt;0)*(AH146&lt;&gt;"")*(AK146="-")),IF(AG146="X",Übersicht!$C$70,Übersicht!$C$69),"-")</f>
        <v>-</v>
      </c>
      <c r="AA146" s="252" t="str">
        <f>IF((($A146="")*($B146=""))+((MID($Y146,1,4)&lt;&gt;"Wahl")*(Deckblatt!$C$14='WK-Vorlagen'!$C$82))+(Deckblatt!$C$14&lt;&gt;'WK-Vorlagen'!$C$82),"",IF(ISERROR(MATCH(VALUE(MID(G146,1,2)),Schwierigkeitsstufen!$G$7:$G$19,0)),"Gerät falsch",LOOKUP(VALUE(MID(G146,1,2)),Schwierigkeitsstufen!$G$7:$G$19,Schwierigkeitsstufen!$H$7:$H$19)))</f>
        <v/>
      </c>
      <c r="AB146" s="250" t="str">
        <f>IF((($A146="")*($B146=""))+((MID($Y146,1,4)&lt;&gt;"Wahl")*(Deckblatt!$C$14='WK-Vorlagen'!$C$82))+(Deckblatt!$C$14&lt;&gt;'WK-Vorlagen'!$C$82),"",IF(ISERROR(MATCH(VALUE(MID(H146,1,2)),Schwierigkeitsstufen!$G$7:$G$19,0)),"Gerät falsch",LOOKUP(VALUE(MID(H146,1,2)),Schwierigkeitsstufen!$G$7:$G$19,Schwierigkeitsstufen!$H$7:$H$19)))</f>
        <v/>
      </c>
      <c r="AC146" s="250" t="str">
        <f>IF((($A146="")*($B146=""))+((MID($Y146,1,4)&lt;&gt;"Wahl")*(Deckblatt!$C$14='WK-Vorlagen'!$C$82))+(Deckblatt!$C$14&lt;&gt;'WK-Vorlagen'!$C$82),"",IF(ISERROR(MATCH(VALUE(MID(I146,1,2)),Schwierigkeitsstufen!$G$7:$G$19,0)),"Gerät falsch",LOOKUP(VALUE(MID(I146,1,2)),Schwierigkeitsstufen!$G$7:$G$19,Schwierigkeitsstufen!$H$7:$H$19)))</f>
        <v/>
      </c>
      <c r="AD146" s="251" t="str">
        <f>IF((($A146="")*($B146=""))+((MID($Y146,1,4)&lt;&gt;"Wahl")*(Deckblatt!$C$14='WK-Vorlagen'!$C$82))+(Deckblatt!$C$14&lt;&gt;'WK-Vorlagen'!$C$82),"",IF(ISERROR(MATCH(VALUE(MID(J146,1,2)),Schwierigkeitsstufen!$G$7:$G$19,0)),"Gerät falsch",LOOKUP(VALUE(MID(J146,1,2)),Schwierigkeitsstufen!$G$7:$G$19,Schwierigkeitsstufen!$H$7:$H$19)))</f>
        <v/>
      </c>
      <c r="AE146" s="211"/>
      <c r="AG146" s="221" t="str">
        <f t="shared" si="18"/>
        <v/>
      </c>
      <c r="AH146" s="222" t="str">
        <f t="shared" si="20"/>
        <v/>
      </c>
      <c r="AI146" s="220">
        <f t="shared" si="25"/>
        <v>4</v>
      </c>
      <c r="AJ146" s="222">
        <f t="shared" si="21"/>
        <v>0</v>
      </c>
      <c r="AK146" s="299" t="str">
        <f>IF(ISERROR(LOOKUP(E146,WKNrListe,Übersicht!$R$7:$R$46)),"-",LOOKUP(E146,WKNrListe,Übersicht!$R$7:$R$46))</f>
        <v>-</v>
      </c>
      <c r="AL146" s="299" t="str">
        <f t="shared" si="24"/>
        <v>-</v>
      </c>
      <c r="AM146" s="303"/>
      <c r="AN146" s="174" t="str">
        <f t="shared" si="17"/>
        <v>Leer</v>
      </c>
    </row>
    <row r="147" spans="1:40" s="174" customFormat="1" ht="15" customHeight="1">
      <c r="A147" s="63"/>
      <c r="B147" s="63"/>
      <c r="C147" s="84"/>
      <c r="D147" s="85"/>
      <c r="E147" s="62"/>
      <c r="F147" s="62"/>
      <c r="G147" s="62"/>
      <c r="H147" s="62"/>
      <c r="I147" s="62"/>
      <c r="J147" s="62"/>
      <c r="K147" s="62"/>
      <c r="L147" s="62"/>
      <c r="M147" s="62"/>
      <c r="N147" s="62"/>
      <c r="O147" s="62"/>
      <c r="P147" s="62"/>
      <c r="Q147" s="62"/>
      <c r="R147" s="62"/>
      <c r="S147" s="258"/>
      <c r="T147" s="248" t="str">
        <f t="shared" si="22"/>
        <v/>
      </c>
      <c r="U147" s="249" t="str">
        <f t="shared" si="23"/>
        <v/>
      </c>
      <c r="V147" s="294" t="str">
        <f t="shared" si="19"/>
        <v/>
      </c>
      <c r="W147" s="294" t="str">
        <f>IF(((E147="")+(F147="")),"",IF(VLOOKUP(F147,Mannschaften!$A$1:$B$54,2,FALSE)&lt;&gt;E147,"Reiter Mannschaften füllen",""))</f>
        <v/>
      </c>
      <c r="X147" s="248" t="str">
        <f>IF(ISBLANK(C147),"",IF((U147&gt;(LOOKUP(E147,WKNrListe,Übersicht!$O$7:$O$46)))+(U147&lt;(LOOKUP(E147,WKNrListe,Übersicht!$P$7:$P$46))),"JG falsch",""))</f>
        <v/>
      </c>
      <c r="Y147" s="255" t="str">
        <f>IF((A147="")*(B147=""),"",IF(ISERROR(MATCH(E147,WKNrListe,0)),"WK falsch",LOOKUP(E147,WKNrListe,Übersicht!$B$7:$B$46)))</f>
        <v/>
      </c>
      <c r="Z147" s="269" t="str">
        <f>IF(((AJ147=0)*(AH147&lt;&gt;"")*(AK147="-"))+((AJ147&lt;&gt;0)*(AH147&lt;&gt;"")*(AK147="-")),IF(AG147="X",Übersicht!$C$70,Übersicht!$C$69),"-")</f>
        <v>-</v>
      </c>
      <c r="AA147" s="252" t="str">
        <f>IF((($A147="")*($B147=""))+((MID($Y147,1,4)&lt;&gt;"Wahl")*(Deckblatt!$C$14='WK-Vorlagen'!$C$82))+(Deckblatt!$C$14&lt;&gt;'WK-Vorlagen'!$C$82),"",IF(ISERROR(MATCH(VALUE(MID(G147,1,2)),Schwierigkeitsstufen!$G$7:$G$19,0)),"Gerät falsch",LOOKUP(VALUE(MID(G147,1,2)),Schwierigkeitsstufen!$G$7:$G$19,Schwierigkeitsstufen!$H$7:$H$19)))</f>
        <v/>
      </c>
      <c r="AB147" s="250" t="str">
        <f>IF((($A147="")*($B147=""))+((MID($Y147,1,4)&lt;&gt;"Wahl")*(Deckblatt!$C$14='WK-Vorlagen'!$C$82))+(Deckblatt!$C$14&lt;&gt;'WK-Vorlagen'!$C$82),"",IF(ISERROR(MATCH(VALUE(MID(H147,1,2)),Schwierigkeitsstufen!$G$7:$G$19,0)),"Gerät falsch",LOOKUP(VALUE(MID(H147,1,2)),Schwierigkeitsstufen!$G$7:$G$19,Schwierigkeitsstufen!$H$7:$H$19)))</f>
        <v/>
      </c>
      <c r="AC147" s="250" t="str">
        <f>IF((($A147="")*($B147=""))+((MID($Y147,1,4)&lt;&gt;"Wahl")*(Deckblatt!$C$14='WK-Vorlagen'!$C$82))+(Deckblatt!$C$14&lt;&gt;'WK-Vorlagen'!$C$82),"",IF(ISERROR(MATCH(VALUE(MID(I147,1,2)),Schwierigkeitsstufen!$G$7:$G$19,0)),"Gerät falsch",LOOKUP(VALUE(MID(I147,1,2)),Schwierigkeitsstufen!$G$7:$G$19,Schwierigkeitsstufen!$H$7:$H$19)))</f>
        <v/>
      </c>
      <c r="AD147" s="251" t="str">
        <f>IF((($A147="")*($B147=""))+((MID($Y147,1,4)&lt;&gt;"Wahl")*(Deckblatt!$C$14='WK-Vorlagen'!$C$82))+(Deckblatt!$C$14&lt;&gt;'WK-Vorlagen'!$C$82),"",IF(ISERROR(MATCH(VALUE(MID(J147,1,2)),Schwierigkeitsstufen!$G$7:$G$19,0)),"Gerät falsch",LOOKUP(VALUE(MID(J147,1,2)),Schwierigkeitsstufen!$G$7:$G$19,Schwierigkeitsstufen!$H$7:$H$19)))</f>
        <v/>
      </c>
      <c r="AE147" s="211"/>
      <c r="AG147" s="221" t="str">
        <f t="shared" si="18"/>
        <v/>
      </c>
      <c r="AH147" s="222" t="str">
        <f t="shared" si="20"/>
        <v/>
      </c>
      <c r="AI147" s="220">
        <f t="shared" si="25"/>
        <v>4</v>
      </c>
      <c r="AJ147" s="222">
        <f t="shared" si="21"/>
        <v>0</v>
      </c>
      <c r="AK147" s="299" t="str">
        <f>IF(ISERROR(LOOKUP(E147,WKNrListe,Übersicht!$R$7:$R$46)),"-",LOOKUP(E147,WKNrListe,Übersicht!$R$7:$R$46))</f>
        <v>-</v>
      </c>
      <c r="AL147" s="299" t="str">
        <f t="shared" si="24"/>
        <v>-</v>
      </c>
      <c r="AM147" s="303"/>
      <c r="AN147" s="174" t="str">
        <f t="shared" si="17"/>
        <v>Leer</v>
      </c>
    </row>
    <row r="148" spans="1:40" s="174" customFormat="1" ht="15" customHeight="1">
      <c r="A148" s="63"/>
      <c r="B148" s="63"/>
      <c r="C148" s="84"/>
      <c r="D148" s="85"/>
      <c r="E148" s="62"/>
      <c r="F148" s="62"/>
      <c r="G148" s="62"/>
      <c r="H148" s="62"/>
      <c r="I148" s="62"/>
      <c r="J148" s="62"/>
      <c r="K148" s="62"/>
      <c r="L148" s="62"/>
      <c r="M148" s="62"/>
      <c r="N148" s="62"/>
      <c r="O148" s="62"/>
      <c r="P148" s="62"/>
      <c r="Q148" s="62"/>
      <c r="R148" s="62"/>
      <c r="S148" s="258"/>
      <c r="T148" s="248" t="str">
        <f t="shared" si="22"/>
        <v/>
      </c>
      <c r="U148" s="249" t="str">
        <f t="shared" si="23"/>
        <v/>
      </c>
      <c r="V148" s="294" t="str">
        <f t="shared" si="19"/>
        <v/>
      </c>
      <c r="W148" s="294" t="str">
        <f>IF(((E148="")+(F148="")),"",IF(VLOOKUP(F148,Mannschaften!$A$1:$B$54,2,FALSE)&lt;&gt;E148,"Reiter Mannschaften füllen",""))</f>
        <v/>
      </c>
      <c r="X148" s="248" t="str">
        <f>IF(ISBLANK(C148),"",IF((U148&gt;(LOOKUP(E148,WKNrListe,Übersicht!$O$7:$O$46)))+(U148&lt;(LOOKUP(E148,WKNrListe,Übersicht!$P$7:$P$46))),"JG falsch",""))</f>
        <v/>
      </c>
      <c r="Y148" s="255" t="str">
        <f>IF((A148="")*(B148=""),"",IF(ISERROR(MATCH(E148,WKNrListe,0)),"WK falsch",LOOKUP(E148,WKNrListe,Übersicht!$B$7:$B$46)))</f>
        <v/>
      </c>
      <c r="Z148" s="269" t="str">
        <f>IF(((AJ148=0)*(AH148&lt;&gt;"")*(AK148="-"))+((AJ148&lt;&gt;0)*(AH148&lt;&gt;"")*(AK148="-")),IF(AG148="X",Übersicht!$C$70,Übersicht!$C$69),"-")</f>
        <v>-</v>
      </c>
      <c r="AA148" s="252" t="str">
        <f>IF((($A148="")*($B148=""))+((MID($Y148,1,4)&lt;&gt;"Wahl")*(Deckblatt!$C$14='WK-Vorlagen'!$C$82))+(Deckblatt!$C$14&lt;&gt;'WK-Vorlagen'!$C$82),"",IF(ISERROR(MATCH(VALUE(MID(G148,1,2)),Schwierigkeitsstufen!$G$7:$G$19,0)),"Gerät falsch",LOOKUP(VALUE(MID(G148,1,2)),Schwierigkeitsstufen!$G$7:$G$19,Schwierigkeitsstufen!$H$7:$H$19)))</f>
        <v/>
      </c>
      <c r="AB148" s="250" t="str">
        <f>IF((($A148="")*($B148=""))+((MID($Y148,1,4)&lt;&gt;"Wahl")*(Deckblatt!$C$14='WK-Vorlagen'!$C$82))+(Deckblatt!$C$14&lt;&gt;'WK-Vorlagen'!$C$82),"",IF(ISERROR(MATCH(VALUE(MID(H148,1,2)),Schwierigkeitsstufen!$G$7:$G$19,0)),"Gerät falsch",LOOKUP(VALUE(MID(H148,1,2)),Schwierigkeitsstufen!$G$7:$G$19,Schwierigkeitsstufen!$H$7:$H$19)))</f>
        <v/>
      </c>
      <c r="AC148" s="250" t="str">
        <f>IF((($A148="")*($B148=""))+((MID($Y148,1,4)&lt;&gt;"Wahl")*(Deckblatt!$C$14='WK-Vorlagen'!$C$82))+(Deckblatt!$C$14&lt;&gt;'WK-Vorlagen'!$C$82),"",IF(ISERROR(MATCH(VALUE(MID(I148,1,2)),Schwierigkeitsstufen!$G$7:$G$19,0)),"Gerät falsch",LOOKUP(VALUE(MID(I148,1,2)),Schwierigkeitsstufen!$G$7:$G$19,Schwierigkeitsstufen!$H$7:$H$19)))</f>
        <v/>
      </c>
      <c r="AD148" s="251" t="str">
        <f>IF((($A148="")*($B148=""))+((MID($Y148,1,4)&lt;&gt;"Wahl")*(Deckblatt!$C$14='WK-Vorlagen'!$C$82))+(Deckblatt!$C$14&lt;&gt;'WK-Vorlagen'!$C$82),"",IF(ISERROR(MATCH(VALUE(MID(J148,1,2)),Schwierigkeitsstufen!$G$7:$G$19,0)),"Gerät falsch",LOOKUP(VALUE(MID(J148,1,2)),Schwierigkeitsstufen!$G$7:$G$19,Schwierigkeitsstufen!$H$7:$H$19)))</f>
        <v/>
      </c>
      <c r="AE148" s="211"/>
      <c r="AG148" s="221" t="str">
        <f t="shared" si="18"/>
        <v/>
      </c>
      <c r="AH148" s="222" t="str">
        <f t="shared" si="20"/>
        <v/>
      </c>
      <c r="AI148" s="220">
        <f t="shared" si="25"/>
        <v>4</v>
      </c>
      <c r="AJ148" s="222">
        <f t="shared" si="21"/>
        <v>0</v>
      </c>
      <c r="AK148" s="299" t="str">
        <f>IF(ISERROR(LOOKUP(E148,WKNrListe,Übersicht!$R$7:$R$46)),"-",LOOKUP(E148,WKNrListe,Übersicht!$R$7:$R$46))</f>
        <v>-</v>
      </c>
      <c r="AL148" s="299" t="str">
        <f t="shared" si="24"/>
        <v>-</v>
      </c>
      <c r="AM148" s="303"/>
      <c r="AN148" s="174" t="str">
        <f t="shared" si="17"/>
        <v>Leer</v>
      </c>
    </row>
    <row r="149" spans="1:40" s="174" customFormat="1" ht="15" customHeight="1">
      <c r="A149" s="63"/>
      <c r="B149" s="63"/>
      <c r="C149" s="84"/>
      <c r="D149" s="85"/>
      <c r="E149" s="62"/>
      <c r="F149" s="62"/>
      <c r="G149" s="62"/>
      <c r="H149" s="62"/>
      <c r="I149" s="62"/>
      <c r="J149" s="62"/>
      <c r="K149" s="62"/>
      <c r="L149" s="62"/>
      <c r="M149" s="62"/>
      <c r="N149" s="62"/>
      <c r="O149" s="62"/>
      <c r="P149" s="62"/>
      <c r="Q149" s="62"/>
      <c r="R149" s="62"/>
      <c r="S149" s="258"/>
      <c r="T149" s="248" t="str">
        <f t="shared" si="22"/>
        <v/>
      </c>
      <c r="U149" s="249" t="str">
        <f t="shared" si="23"/>
        <v/>
      </c>
      <c r="V149" s="294" t="str">
        <f t="shared" si="19"/>
        <v/>
      </c>
      <c r="W149" s="294" t="str">
        <f>IF(((E149="")+(F149="")),"",IF(VLOOKUP(F149,Mannschaften!$A$1:$B$54,2,FALSE)&lt;&gt;E149,"Reiter Mannschaften füllen",""))</f>
        <v/>
      </c>
      <c r="X149" s="248" t="str">
        <f>IF(ISBLANK(C149),"",IF((U149&gt;(LOOKUP(E149,WKNrListe,Übersicht!$O$7:$O$46)))+(U149&lt;(LOOKUP(E149,WKNrListe,Übersicht!$P$7:$P$46))),"JG falsch",""))</f>
        <v/>
      </c>
      <c r="Y149" s="255" t="str">
        <f>IF((A149="")*(B149=""),"",IF(ISERROR(MATCH(E149,WKNrListe,0)),"WK falsch",LOOKUP(E149,WKNrListe,Übersicht!$B$7:$B$46)))</f>
        <v/>
      </c>
      <c r="Z149" s="269" t="str">
        <f>IF(((AJ149=0)*(AH149&lt;&gt;"")*(AK149="-"))+((AJ149&lt;&gt;0)*(AH149&lt;&gt;"")*(AK149="-")),IF(AG149="X",Übersicht!$C$70,Übersicht!$C$69),"-")</f>
        <v>-</v>
      </c>
      <c r="AA149" s="252" t="str">
        <f>IF((($A149="")*($B149=""))+((MID($Y149,1,4)&lt;&gt;"Wahl")*(Deckblatt!$C$14='WK-Vorlagen'!$C$82))+(Deckblatt!$C$14&lt;&gt;'WK-Vorlagen'!$C$82),"",IF(ISERROR(MATCH(VALUE(MID(G149,1,2)),Schwierigkeitsstufen!$G$7:$G$19,0)),"Gerät falsch",LOOKUP(VALUE(MID(G149,1,2)),Schwierigkeitsstufen!$G$7:$G$19,Schwierigkeitsstufen!$H$7:$H$19)))</f>
        <v/>
      </c>
      <c r="AB149" s="250" t="str">
        <f>IF((($A149="")*($B149=""))+((MID($Y149,1,4)&lt;&gt;"Wahl")*(Deckblatt!$C$14='WK-Vorlagen'!$C$82))+(Deckblatt!$C$14&lt;&gt;'WK-Vorlagen'!$C$82),"",IF(ISERROR(MATCH(VALUE(MID(H149,1,2)),Schwierigkeitsstufen!$G$7:$G$19,0)),"Gerät falsch",LOOKUP(VALUE(MID(H149,1,2)),Schwierigkeitsstufen!$G$7:$G$19,Schwierigkeitsstufen!$H$7:$H$19)))</f>
        <v/>
      </c>
      <c r="AC149" s="250" t="str">
        <f>IF((($A149="")*($B149=""))+((MID($Y149,1,4)&lt;&gt;"Wahl")*(Deckblatt!$C$14='WK-Vorlagen'!$C$82))+(Deckblatt!$C$14&lt;&gt;'WK-Vorlagen'!$C$82),"",IF(ISERROR(MATCH(VALUE(MID(I149,1,2)),Schwierigkeitsstufen!$G$7:$G$19,0)),"Gerät falsch",LOOKUP(VALUE(MID(I149,1,2)),Schwierigkeitsstufen!$G$7:$G$19,Schwierigkeitsstufen!$H$7:$H$19)))</f>
        <v/>
      </c>
      <c r="AD149" s="251" t="str">
        <f>IF((($A149="")*($B149=""))+((MID($Y149,1,4)&lt;&gt;"Wahl")*(Deckblatt!$C$14='WK-Vorlagen'!$C$82))+(Deckblatt!$C$14&lt;&gt;'WK-Vorlagen'!$C$82),"",IF(ISERROR(MATCH(VALUE(MID(J149,1,2)),Schwierigkeitsstufen!$G$7:$G$19,0)),"Gerät falsch",LOOKUP(VALUE(MID(J149,1,2)),Schwierigkeitsstufen!$G$7:$G$19,Schwierigkeitsstufen!$H$7:$H$19)))</f>
        <v/>
      </c>
      <c r="AE149" s="211"/>
      <c r="AG149" s="221" t="str">
        <f t="shared" si="18"/>
        <v/>
      </c>
      <c r="AH149" s="222" t="str">
        <f t="shared" si="20"/>
        <v/>
      </c>
      <c r="AI149" s="220">
        <f t="shared" si="25"/>
        <v>4</v>
      </c>
      <c r="AJ149" s="222">
        <f t="shared" si="21"/>
        <v>0</v>
      </c>
      <c r="AK149" s="299" t="str">
        <f>IF(ISERROR(LOOKUP(E149,WKNrListe,Übersicht!$R$7:$R$46)),"-",LOOKUP(E149,WKNrListe,Übersicht!$R$7:$R$46))</f>
        <v>-</v>
      </c>
      <c r="AL149" s="299" t="str">
        <f t="shared" si="24"/>
        <v>-</v>
      </c>
      <c r="AM149" s="303"/>
      <c r="AN149" s="174" t="str">
        <f t="shared" si="17"/>
        <v>Leer</v>
      </c>
    </row>
    <row r="150" spans="1:40" s="174" customFormat="1" ht="15" customHeight="1">
      <c r="A150" s="63"/>
      <c r="B150" s="63"/>
      <c r="C150" s="84"/>
      <c r="D150" s="85"/>
      <c r="E150" s="62"/>
      <c r="F150" s="62"/>
      <c r="G150" s="62"/>
      <c r="H150" s="62"/>
      <c r="I150" s="62"/>
      <c r="J150" s="62"/>
      <c r="K150" s="62"/>
      <c r="L150" s="62"/>
      <c r="M150" s="62"/>
      <c r="N150" s="62"/>
      <c r="O150" s="62"/>
      <c r="P150" s="62"/>
      <c r="Q150" s="62"/>
      <c r="R150" s="62"/>
      <c r="S150" s="258"/>
      <c r="T150" s="248" t="str">
        <f t="shared" si="22"/>
        <v/>
      </c>
      <c r="U150" s="249" t="str">
        <f t="shared" si="23"/>
        <v/>
      </c>
      <c r="V150" s="294" t="str">
        <f t="shared" si="19"/>
        <v/>
      </c>
      <c r="W150" s="294" t="str">
        <f>IF(((E150="")+(F150="")),"",IF(VLOOKUP(F150,Mannschaften!$A$1:$B$54,2,FALSE)&lt;&gt;E150,"Reiter Mannschaften füllen",""))</f>
        <v/>
      </c>
      <c r="X150" s="248" t="str">
        <f>IF(ISBLANK(C150),"",IF((U150&gt;(LOOKUP(E150,WKNrListe,Übersicht!$O$7:$O$46)))+(U150&lt;(LOOKUP(E150,WKNrListe,Übersicht!$P$7:$P$46))),"JG falsch",""))</f>
        <v/>
      </c>
      <c r="Y150" s="255" t="str">
        <f>IF((A150="")*(B150=""),"",IF(ISERROR(MATCH(E150,WKNrListe,0)),"WK falsch",LOOKUP(E150,WKNrListe,Übersicht!$B$7:$B$46)))</f>
        <v/>
      </c>
      <c r="Z150" s="269" t="str">
        <f>IF(((AJ150=0)*(AH150&lt;&gt;"")*(AK150="-"))+((AJ150&lt;&gt;0)*(AH150&lt;&gt;"")*(AK150="-")),IF(AG150="X",Übersicht!$C$70,Übersicht!$C$69),"-")</f>
        <v>-</v>
      </c>
      <c r="AA150" s="252" t="str">
        <f>IF((($A150="")*($B150=""))+((MID($Y150,1,4)&lt;&gt;"Wahl")*(Deckblatt!$C$14='WK-Vorlagen'!$C$82))+(Deckblatt!$C$14&lt;&gt;'WK-Vorlagen'!$C$82),"",IF(ISERROR(MATCH(VALUE(MID(G150,1,2)),Schwierigkeitsstufen!$G$7:$G$19,0)),"Gerät falsch",LOOKUP(VALUE(MID(G150,1,2)),Schwierigkeitsstufen!$G$7:$G$19,Schwierigkeitsstufen!$H$7:$H$19)))</f>
        <v/>
      </c>
      <c r="AB150" s="250" t="str">
        <f>IF((($A150="")*($B150=""))+((MID($Y150,1,4)&lt;&gt;"Wahl")*(Deckblatt!$C$14='WK-Vorlagen'!$C$82))+(Deckblatt!$C$14&lt;&gt;'WK-Vorlagen'!$C$82),"",IF(ISERROR(MATCH(VALUE(MID(H150,1,2)),Schwierigkeitsstufen!$G$7:$G$19,0)),"Gerät falsch",LOOKUP(VALUE(MID(H150,1,2)),Schwierigkeitsstufen!$G$7:$G$19,Schwierigkeitsstufen!$H$7:$H$19)))</f>
        <v/>
      </c>
      <c r="AC150" s="250" t="str">
        <f>IF((($A150="")*($B150=""))+((MID($Y150,1,4)&lt;&gt;"Wahl")*(Deckblatt!$C$14='WK-Vorlagen'!$C$82))+(Deckblatt!$C$14&lt;&gt;'WK-Vorlagen'!$C$82),"",IF(ISERROR(MATCH(VALUE(MID(I150,1,2)),Schwierigkeitsstufen!$G$7:$G$19,0)),"Gerät falsch",LOOKUP(VALUE(MID(I150,1,2)),Schwierigkeitsstufen!$G$7:$G$19,Schwierigkeitsstufen!$H$7:$H$19)))</f>
        <v/>
      </c>
      <c r="AD150" s="251" t="str">
        <f>IF((($A150="")*($B150=""))+((MID($Y150,1,4)&lt;&gt;"Wahl")*(Deckblatt!$C$14='WK-Vorlagen'!$C$82))+(Deckblatt!$C$14&lt;&gt;'WK-Vorlagen'!$C$82),"",IF(ISERROR(MATCH(VALUE(MID(J150,1,2)),Schwierigkeitsstufen!$G$7:$G$19,0)),"Gerät falsch",LOOKUP(VALUE(MID(J150,1,2)),Schwierigkeitsstufen!$G$7:$G$19,Schwierigkeitsstufen!$H$7:$H$19)))</f>
        <v/>
      </c>
      <c r="AE150" s="211"/>
      <c r="AG150" s="221" t="str">
        <f t="shared" si="18"/>
        <v/>
      </c>
      <c r="AH150" s="222" t="str">
        <f t="shared" si="20"/>
        <v/>
      </c>
      <c r="AI150" s="220">
        <f t="shared" si="25"/>
        <v>4</v>
      </c>
      <c r="AJ150" s="222">
        <f t="shared" si="21"/>
        <v>0</v>
      </c>
      <c r="AK150" s="299" t="str">
        <f>IF(ISERROR(LOOKUP(E150,WKNrListe,Übersicht!$R$7:$R$46)),"-",LOOKUP(E150,WKNrListe,Übersicht!$R$7:$R$46))</f>
        <v>-</v>
      </c>
      <c r="AL150" s="299" t="str">
        <f t="shared" si="24"/>
        <v>-</v>
      </c>
      <c r="AM150" s="303"/>
      <c r="AN150" s="174" t="str">
        <f t="shared" si="17"/>
        <v>Leer</v>
      </c>
    </row>
    <row r="151" spans="1:40" s="174" customFormat="1" ht="15" customHeight="1">
      <c r="A151" s="63"/>
      <c r="B151" s="63"/>
      <c r="C151" s="84"/>
      <c r="D151" s="85"/>
      <c r="E151" s="62"/>
      <c r="F151" s="62"/>
      <c r="G151" s="62"/>
      <c r="H151" s="62"/>
      <c r="I151" s="62"/>
      <c r="J151" s="62"/>
      <c r="K151" s="62"/>
      <c r="L151" s="62"/>
      <c r="M151" s="62"/>
      <c r="N151" s="62"/>
      <c r="O151" s="62"/>
      <c r="P151" s="62"/>
      <c r="Q151" s="62"/>
      <c r="R151" s="62"/>
      <c r="S151" s="258"/>
      <c r="T151" s="248" t="str">
        <f t="shared" si="22"/>
        <v/>
      </c>
      <c r="U151" s="249" t="str">
        <f t="shared" si="23"/>
        <v/>
      </c>
      <c r="V151" s="294" t="str">
        <f t="shared" si="19"/>
        <v/>
      </c>
      <c r="W151" s="294" t="str">
        <f>IF(((E151="")+(F151="")),"",IF(VLOOKUP(F151,Mannschaften!$A$1:$B$54,2,FALSE)&lt;&gt;E151,"Reiter Mannschaften füllen",""))</f>
        <v/>
      </c>
      <c r="X151" s="248" t="str">
        <f>IF(ISBLANK(C151),"",IF((U151&gt;(LOOKUP(E151,WKNrListe,Übersicht!$O$7:$O$46)))+(U151&lt;(LOOKUP(E151,WKNrListe,Übersicht!$P$7:$P$46))),"JG falsch",""))</f>
        <v/>
      </c>
      <c r="Y151" s="255" t="str">
        <f>IF((A151="")*(B151=""),"",IF(ISERROR(MATCH(E151,WKNrListe,0)),"WK falsch",LOOKUP(E151,WKNrListe,Übersicht!$B$7:$B$46)))</f>
        <v/>
      </c>
      <c r="Z151" s="269" t="str">
        <f>IF(((AJ151=0)*(AH151&lt;&gt;"")*(AK151="-"))+((AJ151&lt;&gt;0)*(AH151&lt;&gt;"")*(AK151="-")),IF(AG151="X",Übersicht!$C$70,Übersicht!$C$69),"-")</f>
        <v>-</v>
      </c>
      <c r="AA151" s="252" t="str">
        <f>IF((($A151="")*($B151=""))+((MID($Y151,1,4)&lt;&gt;"Wahl")*(Deckblatt!$C$14='WK-Vorlagen'!$C$82))+(Deckblatt!$C$14&lt;&gt;'WK-Vorlagen'!$C$82),"",IF(ISERROR(MATCH(VALUE(MID(G151,1,2)),Schwierigkeitsstufen!$G$7:$G$19,0)),"Gerät falsch",LOOKUP(VALUE(MID(G151,1,2)),Schwierigkeitsstufen!$G$7:$G$19,Schwierigkeitsstufen!$H$7:$H$19)))</f>
        <v/>
      </c>
      <c r="AB151" s="250" t="str">
        <f>IF((($A151="")*($B151=""))+((MID($Y151,1,4)&lt;&gt;"Wahl")*(Deckblatt!$C$14='WK-Vorlagen'!$C$82))+(Deckblatt!$C$14&lt;&gt;'WK-Vorlagen'!$C$82),"",IF(ISERROR(MATCH(VALUE(MID(H151,1,2)),Schwierigkeitsstufen!$G$7:$G$19,0)),"Gerät falsch",LOOKUP(VALUE(MID(H151,1,2)),Schwierigkeitsstufen!$G$7:$G$19,Schwierigkeitsstufen!$H$7:$H$19)))</f>
        <v/>
      </c>
      <c r="AC151" s="250" t="str">
        <f>IF((($A151="")*($B151=""))+((MID($Y151,1,4)&lt;&gt;"Wahl")*(Deckblatt!$C$14='WK-Vorlagen'!$C$82))+(Deckblatt!$C$14&lt;&gt;'WK-Vorlagen'!$C$82),"",IF(ISERROR(MATCH(VALUE(MID(I151,1,2)),Schwierigkeitsstufen!$G$7:$G$19,0)),"Gerät falsch",LOOKUP(VALUE(MID(I151,1,2)),Schwierigkeitsstufen!$G$7:$G$19,Schwierigkeitsstufen!$H$7:$H$19)))</f>
        <v/>
      </c>
      <c r="AD151" s="251" t="str">
        <f>IF((($A151="")*($B151=""))+((MID($Y151,1,4)&lt;&gt;"Wahl")*(Deckblatt!$C$14='WK-Vorlagen'!$C$82))+(Deckblatt!$C$14&lt;&gt;'WK-Vorlagen'!$C$82),"",IF(ISERROR(MATCH(VALUE(MID(J151,1,2)),Schwierigkeitsstufen!$G$7:$G$19,0)),"Gerät falsch",LOOKUP(VALUE(MID(J151,1,2)),Schwierigkeitsstufen!$G$7:$G$19,Schwierigkeitsstufen!$H$7:$H$19)))</f>
        <v/>
      </c>
      <c r="AE151" s="211"/>
      <c r="AG151" s="221" t="str">
        <f t="shared" si="18"/>
        <v/>
      </c>
      <c r="AH151" s="222" t="str">
        <f t="shared" si="20"/>
        <v/>
      </c>
      <c r="AI151" s="220">
        <f t="shared" si="25"/>
        <v>4</v>
      </c>
      <c r="AJ151" s="222">
        <f t="shared" si="21"/>
        <v>0</v>
      </c>
      <c r="AK151" s="299" t="str">
        <f>IF(ISERROR(LOOKUP(E151,WKNrListe,Übersicht!$R$7:$R$46)),"-",LOOKUP(E151,WKNrListe,Übersicht!$R$7:$R$46))</f>
        <v>-</v>
      </c>
      <c r="AL151" s="299" t="str">
        <f t="shared" si="24"/>
        <v>-</v>
      </c>
      <c r="AM151" s="303"/>
      <c r="AN151" s="174" t="str">
        <f t="shared" si="17"/>
        <v>Leer</v>
      </c>
    </row>
    <row r="152" spans="1:40" s="174" customFormat="1" ht="15" customHeight="1">
      <c r="A152" s="63"/>
      <c r="B152" s="63"/>
      <c r="C152" s="84"/>
      <c r="D152" s="85"/>
      <c r="E152" s="62"/>
      <c r="F152" s="62"/>
      <c r="G152" s="62"/>
      <c r="H152" s="62"/>
      <c r="I152" s="62"/>
      <c r="J152" s="62"/>
      <c r="K152" s="62"/>
      <c r="L152" s="62"/>
      <c r="M152" s="62"/>
      <c r="N152" s="62"/>
      <c r="O152" s="62"/>
      <c r="P152" s="62"/>
      <c r="Q152" s="62"/>
      <c r="R152" s="62"/>
      <c r="S152" s="258"/>
      <c r="T152" s="248" t="str">
        <f t="shared" si="22"/>
        <v/>
      </c>
      <c r="U152" s="249" t="str">
        <f t="shared" si="23"/>
        <v/>
      </c>
      <c r="V152" s="294" t="str">
        <f t="shared" si="19"/>
        <v/>
      </c>
      <c r="W152" s="294" t="str">
        <f>IF(((E152="")+(F152="")),"",IF(VLOOKUP(F152,Mannschaften!$A$1:$B$54,2,FALSE)&lt;&gt;E152,"Reiter Mannschaften füllen",""))</f>
        <v/>
      </c>
      <c r="X152" s="248" t="str">
        <f>IF(ISBLANK(C152),"",IF((U152&gt;(LOOKUP(E152,WKNrListe,Übersicht!$O$7:$O$46)))+(U152&lt;(LOOKUP(E152,WKNrListe,Übersicht!$P$7:$P$46))),"JG falsch",""))</f>
        <v/>
      </c>
      <c r="Y152" s="255" t="str">
        <f>IF((A152="")*(B152=""),"",IF(ISERROR(MATCH(E152,WKNrListe,0)),"WK falsch",LOOKUP(E152,WKNrListe,Übersicht!$B$7:$B$46)))</f>
        <v/>
      </c>
      <c r="Z152" s="269" t="str">
        <f>IF(((AJ152=0)*(AH152&lt;&gt;"")*(AK152="-"))+((AJ152&lt;&gt;0)*(AH152&lt;&gt;"")*(AK152="-")),IF(AG152="X",Übersicht!$C$70,Übersicht!$C$69),"-")</f>
        <v>-</v>
      </c>
      <c r="AA152" s="252" t="str">
        <f>IF((($A152="")*($B152=""))+((MID($Y152,1,4)&lt;&gt;"Wahl")*(Deckblatt!$C$14='WK-Vorlagen'!$C$82))+(Deckblatt!$C$14&lt;&gt;'WK-Vorlagen'!$C$82),"",IF(ISERROR(MATCH(VALUE(MID(G152,1,2)),Schwierigkeitsstufen!$G$7:$G$19,0)),"Gerät falsch",LOOKUP(VALUE(MID(G152,1,2)),Schwierigkeitsstufen!$G$7:$G$19,Schwierigkeitsstufen!$H$7:$H$19)))</f>
        <v/>
      </c>
      <c r="AB152" s="250" t="str">
        <f>IF((($A152="")*($B152=""))+((MID($Y152,1,4)&lt;&gt;"Wahl")*(Deckblatt!$C$14='WK-Vorlagen'!$C$82))+(Deckblatt!$C$14&lt;&gt;'WK-Vorlagen'!$C$82),"",IF(ISERROR(MATCH(VALUE(MID(H152,1,2)),Schwierigkeitsstufen!$G$7:$G$19,0)),"Gerät falsch",LOOKUP(VALUE(MID(H152,1,2)),Schwierigkeitsstufen!$G$7:$G$19,Schwierigkeitsstufen!$H$7:$H$19)))</f>
        <v/>
      </c>
      <c r="AC152" s="250" t="str">
        <f>IF((($A152="")*($B152=""))+((MID($Y152,1,4)&lt;&gt;"Wahl")*(Deckblatt!$C$14='WK-Vorlagen'!$C$82))+(Deckblatt!$C$14&lt;&gt;'WK-Vorlagen'!$C$82),"",IF(ISERROR(MATCH(VALUE(MID(I152,1,2)),Schwierigkeitsstufen!$G$7:$G$19,0)),"Gerät falsch",LOOKUP(VALUE(MID(I152,1,2)),Schwierigkeitsstufen!$G$7:$G$19,Schwierigkeitsstufen!$H$7:$H$19)))</f>
        <v/>
      </c>
      <c r="AD152" s="251" t="str">
        <f>IF((($A152="")*($B152=""))+((MID($Y152,1,4)&lt;&gt;"Wahl")*(Deckblatt!$C$14='WK-Vorlagen'!$C$82))+(Deckblatt!$C$14&lt;&gt;'WK-Vorlagen'!$C$82),"",IF(ISERROR(MATCH(VALUE(MID(J152,1,2)),Schwierigkeitsstufen!$G$7:$G$19,0)),"Gerät falsch",LOOKUP(VALUE(MID(J152,1,2)),Schwierigkeitsstufen!$G$7:$G$19,Schwierigkeitsstufen!$H$7:$H$19)))</f>
        <v/>
      </c>
      <c r="AE152" s="211"/>
      <c r="AG152" s="221" t="str">
        <f t="shared" si="18"/>
        <v/>
      </c>
      <c r="AH152" s="222" t="str">
        <f t="shared" si="20"/>
        <v/>
      </c>
      <c r="AI152" s="220">
        <f t="shared" si="25"/>
        <v>4</v>
      </c>
      <c r="AJ152" s="222">
        <f t="shared" si="21"/>
        <v>0</v>
      </c>
      <c r="AK152" s="299" t="str">
        <f>IF(ISERROR(LOOKUP(E152,WKNrListe,Übersicht!$R$7:$R$46)),"-",LOOKUP(E152,WKNrListe,Übersicht!$R$7:$R$46))</f>
        <v>-</v>
      </c>
      <c r="AL152" s="299" t="str">
        <f t="shared" si="24"/>
        <v>-</v>
      </c>
      <c r="AM152" s="303"/>
      <c r="AN152" s="174" t="str">
        <f t="shared" si="17"/>
        <v>Leer</v>
      </c>
    </row>
    <row r="153" spans="1:40" s="174" customFormat="1" ht="15" customHeight="1">
      <c r="A153" s="63"/>
      <c r="B153" s="63"/>
      <c r="C153" s="84"/>
      <c r="D153" s="85"/>
      <c r="E153" s="62"/>
      <c r="F153" s="62"/>
      <c r="G153" s="62"/>
      <c r="H153" s="62"/>
      <c r="I153" s="62"/>
      <c r="J153" s="62"/>
      <c r="K153" s="62"/>
      <c r="L153" s="62"/>
      <c r="M153" s="62"/>
      <c r="N153" s="62"/>
      <c r="O153" s="62"/>
      <c r="P153" s="62"/>
      <c r="Q153" s="62"/>
      <c r="R153" s="62"/>
      <c r="S153" s="258"/>
      <c r="T153" s="248" t="str">
        <f t="shared" si="22"/>
        <v/>
      </c>
      <c r="U153" s="249" t="str">
        <f t="shared" si="23"/>
        <v/>
      </c>
      <c r="V153" s="294" t="str">
        <f t="shared" si="19"/>
        <v/>
      </c>
      <c r="W153" s="294" t="str">
        <f>IF(((E153="")+(F153="")),"",IF(VLOOKUP(F153,Mannschaften!$A$1:$B$54,2,FALSE)&lt;&gt;E153,"Reiter Mannschaften füllen",""))</f>
        <v/>
      </c>
      <c r="X153" s="248" t="str">
        <f>IF(ISBLANK(C153),"",IF((U153&gt;(LOOKUP(E153,WKNrListe,Übersicht!$O$7:$O$46)))+(U153&lt;(LOOKUP(E153,WKNrListe,Übersicht!$P$7:$P$46))),"JG falsch",""))</f>
        <v/>
      </c>
      <c r="Y153" s="255" t="str">
        <f>IF((A153="")*(B153=""),"",IF(ISERROR(MATCH(E153,WKNrListe,0)),"WK falsch",LOOKUP(E153,WKNrListe,Übersicht!$B$7:$B$46)))</f>
        <v/>
      </c>
      <c r="Z153" s="269" t="str">
        <f>IF(((AJ153=0)*(AH153&lt;&gt;"")*(AK153="-"))+((AJ153&lt;&gt;0)*(AH153&lt;&gt;"")*(AK153="-")),IF(AG153="X",Übersicht!$C$70,Übersicht!$C$69),"-")</f>
        <v>-</v>
      </c>
      <c r="AA153" s="252" t="str">
        <f>IF((($A153="")*($B153=""))+((MID($Y153,1,4)&lt;&gt;"Wahl")*(Deckblatt!$C$14='WK-Vorlagen'!$C$82))+(Deckblatt!$C$14&lt;&gt;'WK-Vorlagen'!$C$82),"",IF(ISERROR(MATCH(VALUE(MID(G153,1,2)),Schwierigkeitsstufen!$G$7:$G$19,0)),"Gerät falsch",LOOKUP(VALUE(MID(G153,1,2)),Schwierigkeitsstufen!$G$7:$G$19,Schwierigkeitsstufen!$H$7:$H$19)))</f>
        <v/>
      </c>
      <c r="AB153" s="250" t="str">
        <f>IF((($A153="")*($B153=""))+((MID($Y153,1,4)&lt;&gt;"Wahl")*(Deckblatt!$C$14='WK-Vorlagen'!$C$82))+(Deckblatt!$C$14&lt;&gt;'WK-Vorlagen'!$C$82),"",IF(ISERROR(MATCH(VALUE(MID(H153,1,2)),Schwierigkeitsstufen!$G$7:$G$19,0)),"Gerät falsch",LOOKUP(VALUE(MID(H153,1,2)),Schwierigkeitsstufen!$G$7:$G$19,Schwierigkeitsstufen!$H$7:$H$19)))</f>
        <v/>
      </c>
      <c r="AC153" s="250" t="str">
        <f>IF((($A153="")*($B153=""))+((MID($Y153,1,4)&lt;&gt;"Wahl")*(Deckblatt!$C$14='WK-Vorlagen'!$C$82))+(Deckblatt!$C$14&lt;&gt;'WK-Vorlagen'!$C$82),"",IF(ISERROR(MATCH(VALUE(MID(I153,1,2)),Schwierigkeitsstufen!$G$7:$G$19,0)),"Gerät falsch",LOOKUP(VALUE(MID(I153,1,2)),Schwierigkeitsstufen!$G$7:$G$19,Schwierigkeitsstufen!$H$7:$H$19)))</f>
        <v/>
      </c>
      <c r="AD153" s="251" t="str">
        <f>IF((($A153="")*($B153=""))+((MID($Y153,1,4)&lt;&gt;"Wahl")*(Deckblatt!$C$14='WK-Vorlagen'!$C$82))+(Deckblatt!$C$14&lt;&gt;'WK-Vorlagen'!$C$82),"",IF(ISERROR(MATCH(VALUE(MID(J153,1,2)),Schwierigkeitsstufen!$G$7:$G$19,0)),"Gerät falsch",LOOKUP(VALUE(MID(J153,1,2)),Schwierigkeitsstufen!$G$7:$G$19,Schwierigkeitsstufen!$H$7:$H$19)))</f>
        <v/>
      </c>
      <c r="AE153" s="211"/>
      <c r="AG153" s="221" t="str">
        <f t="shared" si="18"/>
        <v/>
      </c>
      <c r="AH153" s="222" t="str">
        <f t="shared" si="20"/>
        <v/>
      </c>
      <c r="AI153" s="220">
        <f t="shared" si="25"/>
        <v>4</v>
      </c>
      <c r="AJ153" s="222">
        <f t="shared" si="21"/>
        <v>0</v>
      </c>
      <c r="AK153" s="299" t="str">
        <f>IF(ISERROR(LOOKUP(E153,WKNrListe,Übersicht!$R$7:$R$46)),"-",LOOKUP(E153,WKNrListe,Übersicht!$R$7:$R$46))</f>
        <v>-</v>
      </c>
      <c r="AL153" s="299" t="str">
        <f t="shared" si="24"/>
        <v>-</v>
      </c>
      <c r="AM153" s="303"/>
      <c r="AN153" s="174" t="str">
        <f t="shared" si="17"/>
        <v>Leer</v>
      </c>
    </row>
    <row r="154" spans="1:40" s="174" customFormat="1" ht="15" customHeight="1">
      <c r="A154" s="63"/>
      <c r="B154" s="63"/>
      <c r="C154" s="84"/>
      <c r="D154" s="85"/>
      <c r="E154" s="62"/>
      <c r="F154" s="62"/>
      <c r="G154" s="62"/>
      <c r="H154" s="62"/>
      <c r="I154" s="62"/>
      <c r="J154" s="62"/>
      <c r="K154" s="62"/>
      <c r="L154" s="62"/>
      <c r="M154" s="62"/>
      <c r="N154" s="62"/>
      <c r="O154" s="62"/>
      <c r="P154" s="62"/>
      <c r="Q154" s="62"/>
      <c r="R154" s="62"/>
      <c r="S154" s="258"/>
      <c r="T154" s="248" t="str">
        <f t="shared" si="22"/>
        <v/>
      </c>
      <c r="U154" s="249" t="str">
        <f t="shared" si="23"/>
        <v/>
      </c>
      <c r="V154" s="294" t="str">
        <f t="shared" si="19"/>
        <v/>
      </c>
      <c r="W154" s="294" t="str">
        <f>IF(((E154="")+(F154="")),"",IF(VLOOKUP(F154,Mannschaften!$A$1:$B$54,2,FALSE)&lt;&gt;E154,"Reiter Mannschaften füllen",""))</f>
        <v/>
      </c>
      <c r="X154" s="248" t="str">
        <f>IF(ISBLANK(C154),"",IF((U154&gt;(LOOKUP(E154,WKNrListe,Übersicht!$O$7:$O$46)))+(U154&lt;(LOOKUP(E154,WKNrListe,Übersicht!$P$7:$P$46))),"JG falsch",""))</f>
        <v/>
      </c>
      <c r="Y154" s="255" t="str">
        <f>IF((A154="")*(B154=""),"",IF(ISERROR(MATCH(E154,WKNrListe,0)),"WK falsch",LOOKUP(E154,WKNrListe,Übersicht!$B$7:$B$46)))</f>
        <v/>
      </c>
      <c r="Z154" s="269" t="str">
        <f>IF(((AJ154=0)*(AH154&lt;&gt;"")*(AK154="-"))+((AJ154&lt;&gt;0)*(AH154&lt;&gt;"")*(AK154="-")),IF(AG154="X",Übersicht!$C$70,Übersicht!$C$69),"-")</f>
        <v>-</v>
      </c>
      <c r="AA154" s="252" t="str">
        <f>IF((($A154="")*($B154=""))+((MID($Y154,1,4)&lt;&gt;"Wahl")*(Deckblatt!$C$14='WK-Vorlagen'!$C$82))+(Deckblatt!$C$14&lt;&gt;'WK-Vorlagen'!$C$82),"",IF(ISERROR(MATCH(VALUE(MID(G154,1,2)),Schwierigkeitsstufen!$G$7:$G$19,0)),"Gerät falsch",LOOKUP(VALUE(MID(G154,1,2)),Schwierigkeitsstufen!$G$7:$G$19,Schwierigkeitsstufen!$H$7:$H$19)))</f>
        <v/>
      </c>
      <c r="AB154" s="250" t="str">
        <f>IF((($A154="")*($B154=""))+((MID($Y154,1,4)&lt;&gt;"Wahl")*(Deckblatt!$C$14='WK-Vorlagen'!$C$82))+(Deckblatt!$C$14&lt;&gt;'WK-Vorlagen'!$C$82),"",IF(ISERROR(MATCH(VALUE(MID(H154,1,2)),Schwierigkeitsstufen!$G$7:$G$19,0)),"Gerät falsch",LOOKUP(VALUE(MID(H154,1,2)),Schwierigkeitsstufen!$G$7:$G$19,Schwierigkeitsstufen!$H$7:$H$19)))</f>
        <v/>
      </c>
      <c r="AC154" s="250" t="str">
        <f>IF((($A154="")*($B154=""))+((MID($Y154,1,4)&lt;&gt;"Wahl")*(Deckblatt!$C$14='WK-Vorlagen'!$C$82))+(Deckblatt!$C$14&lt;&gt;'WK-Vorlagen'!$C$82),"",IF(ISERROR(MATCH(VALUE(MID(I154,1,2)),Schwierigkeitsstufen!$G$7:$G$19,0)),"Gerät falsch",LOOKUP(VALUE(MID(I154,1,2)),Schwierigkeitsstufen!$G$7:$G$19,Schwierigkeitsstufen!$H$7:$H$19)))</f>
        <v/>
      </c>
      <c r="AD154" s="251" t="str">
        <f>IF((($A154="")*($B154=""))+((MID($Y154,1,4)&lt;&gt;"Wahl")*(Deckblatt!$C$14='WK-Vorlagen'!$C$82))+(Deckblatt!$C$14&lt;&gt;'WK-Vorlagen'!$C$82),"",IF(ISERROR(MATCH(VALUE(MID(J154,1,2)),Schwierigkeitsstufen!$G$7:$G$19,0)),"Gerät falsch",LOOKUP(VALUE(MID(J154,1,2)),Schwierigkeitsstufen!$G$7:$G$19,Schwierigkeitsstufen!$H$7:$H$19)))</f>
        <v/>
      </c>
      <c r="AE154" s="211"/>
      <c r="AG154" s="221" t="str">
        <f t="shared" si="18"/>
        <v/>
      </c>
      <c r="AH154" s="222" t="str">
        <f t="shared" si="20"/>
        <v/>
      </c>
      <c r="AI154" s="220">
        <f t="shared" si="25"/>
        <v>4</v>
      </c>
      <c r="AJ154" s="222">
        <f t="shared" si="21"/>
        <v>0</v>
      </c>
      <c r="AK154" s="299" t="str">
        <f>IF(ISERROR(LOOKUP(E154,WKNrListe,Übersicht!$R$7:$R$46)),"-",LOOKUP(E154,WKNrListe,Übersicht!$R$7:$R$46))</f>
        <v>-</v>
      </c>
      <c r="AL154" s="299" t="str">
        <f t="shared" si="24"/>
        <v>-</v>
      </c>
      <c r="AM154" s="303"/>
      <c r="AN154" s="174" t="str">
        <f t="shared" si="17"/>
        <v>Leer</v>
      </c>
    </row>
    <row r="155" spans="1:40" s="174" customFormat="1" ht="15" customHeight="1">
      <c r="A155" s="63"/>
      <c r="B155" s="63"/>
      <c r="C155" s="84"/>
      <c r="D155" s="85"/>
      <c r="E155" s="62"/>
      <c r="F155" s="62"/>
      <c r="G155" s="62"/>
      <c r="H155" s="62"/>
      <c r="I155" s="62"/>
      <c r="J155" s="62"/>
      <c r="K155" s="62"/>
      <c r="L155" s="62"/>
      <c r="M155" s="62"/>
      <c r="N155" s="62"/>
      <c r="O155" s="62"/>
      <c r="P155" s="62"/>
      <c r="Q155" s="62"/>
      <c r="R155" s="62"/>
      <c r="S155" s="258"/>
      <c r="T155" s="248" t="str">
        <f t="shared" si="22"/>
        <v/>
      </c>
      <c r="U155" s="249" t="str">
        <f t="shared" si="23"/>
        <v/>
      </c>
      <c r="V155" s="294" t="str">
        <f t="shared" si="19"/>
        <v/>
      </c>
      <c r="W155" s="294" t="str">
        <f>IF(((E155="")+(F155="")),"",IF(VLOOKUP(F155,Mannschaften!$A$1:$B$54,2,FALSE)&lt;&gt;E155,"Reiter Mannschaften füllen",""))</f>
        <v/>
      </c>
      <c r="X155" s="248" t="str">
        <f>IF(ISBLANK(C155),"",IF((U155&gt;(LOOKUP(E155,WKNrListe,Übersicht!$O$7:$O$46)))+(U155&lt;(LOOKUP(E155,WKNrListe,Übersicht!$P$7:$P$46))),"JG falsch",""))</f>
        <v/>
      </c>
      <c r="Y155" s="255" t="str">
        <f>IF((A155="")*(B155=""),"",IF(ISERROR(MATCH(E155,WKNrListe,0)),"WK falsch",LOOKUP(E155,WKNrListe,Übersicht!$B$7:$B$46)))</f>
        <v/>
      </c>
      <c r="Z155" s="269" t="str">
        <f>IF(((AJ155=0)*(AH155&lt;&gt;"")*(AK155="-"))+((AJ155&lt;&gt;0)*(AH155&lt;&gt;"")*(AK155="-")),IF(AG155="X",Übersicht!$C$70,Übersicht!$C$69),"-")</f>
        <v>-</v>
      </c>
      <c r="AA155" s="252" t="str">
        <f>IF((($A155="")*($B155=""))+((MID($Y155,1,4)&lt;&gt;"Wahl")*(Deckblatt!$C$14='WK-Vorlagen'!$C$82))+(Deckblatt!$C$14&lt;&gt;'WK-Vorlagen'!$C$82),"",IF(ISERROR(MATCH(VALUE(MID(G155,1,2)),Schwierigkeitsstufen!$G$7:$G$19,0)),"Gerät falsch",LOOKUP(VALUE(MID(G155,1,2)),Schwierigkeitsstufen!$G$7:$G$19,Schwierigkeitsstufen!$H$7:$H$19)))</f>
        <v/>
      </c>
      <c r="AB155" s="250" t="str">
        <f>IF((($A155="")*($B155=""))+((MID($Y155,1,4)&lt;&gt;"Wahl")*(Deckblatt!$C$14='WK-Vorlagen'!$C$82))+(Deckblatt!$C$14&lt;&gt;'WK-Vorlagen'!$C$82),"",IF(ISERROR(MATCH(VALUE(MID(H155,1,2)),Schwierigkeitsstufen!$G$7:$G$19,0)),"Gerät falsch",LOOKUP(VALUE(MID(H155,1,2)),Schwierigkeitsstufen!$G$7:$G$19,Schwierigkeitsstufen!$H$7:$H$19)))</f>
        <v/>
      </c>
      <c r="AC155" s="250" t="str">
        <f>IF((($A155="")*($B155=""))+((MID($Y155,1,4)&lt;&gt;"Wahl")*(Deckblatt!$C$14='WK-Vorlagen'!$C$82))+(Deckblatt!$C$14&lt;&gt;'WK-Vorlagen'!$C$82),"",IF(ISERROR(MATCH(VALUE(MID(I155,1,2)),Schwierigkeitsstufen!$G$7:$G$19,0)),"Gerät falsch",LOOKUP(VALUE(MID(I155,1,2)),Schwierigkeitsstufen!$G$7:$G$19,Schwierigkeitsstufen!$H$7:$H$19)))</f>
        <v/>
      </c>
      <c r="AD155" s="251" t="str">
        <f>IF((($A155="")*($B155=""))+((MID($Y155,1,4)&lt;&gt;"Wahl")*(Deckblatt!$C$14='WK-Vorlagen'!$C$82))+(Deckblatt!$C$14&lt;&gt;'WK-Vorlagen'!$C$82),"",IF(ISERROR(MATCH(VALUE(MID(J155,1,2)),Schwierigkeitsstufen!$G$7:$G$19,0)),"Gerät falsch",LOOKUP(VALUE(MID(J155,1,2)),Schwierigkeitsstufen!$G$7:$G$19,Schwierigkeitsstufen!$H$7:$H$19)))</f>
        <v/>
      </c>
      <c r="AE155" s="211"/>
      <c r="AG155" s="221" t="str">
        <f t="shared" si="18"/>
        <v/>
      </c>
      <c r="AH155" s="222" t="str">
        <f t="shared" si="20"/>
        <v/>
      </c>
      <c r="AI155" s="220">
        <f t="shared" si="25"/>
        <v>4</v>
      </c>
      <c r="AJ155" s="222">
        <f t="shared" si="21"/>
        <v>0</v>
      </c>
      <c r="AK155" s="299" t="str">
        <f>IF(ISERROR(LOOKUP(E155,WKNrListe,Übersicht!$R$7:$R$46)),"-",LOOKUP(E155,WKNrListe,Übersicht!$R$7:$R$46))</f>
        <v>-</v>
      </c>
      <c r="AL155" s="299" t="str">
        <f t="shared" si="24"/>
        <v>-</v>
      </c>
      <c r="AM155" s="303"/>
      <c r="AN155" s="174" t="str">
        <f t="shared" si="17"/>
        <v>Leer</v>
      </c>
    </row>
    <row r="156" spans="1:40" s="174" customFormat="1" ht="15" customHeight="1">
      <c r="A156" s="63"/>
      <c r="B156" s="63"/>
      <c r="C156" s="84"/>
      <c r="D156" s="85"/>
      <c r="E156" s="62"/>
      <c r="F156" s="62"/>
      <c r="G156" s="62"/>
      <c r="H156" s="62"/>
      <c r="I156" s="62"/>
      <c r="J156" s="62"/>
      <c r="K156" s="62"/>
      <c r="L156" s="62"/>
      <c r="M156" s="62"/>
      <c r="N156" s="62"/>
      <c r="O156" s="62"/>
      <c r="P156" s="62"/>
      <c r="Q156" s="62"/>
      <c r="R156" s="62"/>
      <c r="S156" s="258"/>
      <c r="T156" s="248" t="str">
        <f t="shared" si="22"/>
        <v/>
      </c>
      <c r="U156" s="249" t="str">
        <f t="shared" si="23"/>
        <v/>
      </c>
      <c r="V156" s="294" t="str">
        <f t="shared" si="19"/>
        <v/>
      </c>
      <c r="W156" s="294" t="str">
        <f>IF(((E156="")+(F156="")),"",IF(VLOOKUP(F156,Mannschaften!$A$1:$B$54,2,FALSE)&lt;&gt;E156,"Reiter Mannschaften füllen",""))</f>
        <v/>
      </c>
      <c r="X156" s="248" t="str">
        <f>IF(ISBLANK(C156),"",IF((U156&gt;(LOOKUP(E156,WKNrListe,Übersicht!$O$7:$O$46)))+(U156&lt;(LOOKUP(E156,WKNrListe,Übersicht!$P$7:$P$46))),"JG falsch",""))</f>
        <v/>
      </c>
      <c r="Y156" s="255" t="str">
        <f>IF((A156="")*(B156=""),"",IF(ISERROR(MATCH(E156,WKNrListe,0)),"WK falsch",LOOKUP(E156,WKNrListe,Übersicht!$B$7:$B$46)))</f>
        <v/>
      </c>
      <c r="Z156" s="269" t="str">
        <f>IF(((AJ156=0)*(AH156&lt;&gt;"")*(AK156="-"))+((AJ156&lt;&gt;0)*(AH156&lt;&gt;"")*(AK156="-")),IF(AG156="X",Übersicht!$C$70,Übersicht!$C$69),"-")</f>
        <v>-</v>
      </c>
      <c r="AA156" s="252" t="str">
        <f>IF((($A156="")*($B156=""))+((MID($Y156,1,4)&lt;&gt;"Wahl")*(Deckblatt!$C$14='WK-Vorlagen'!$C$82))+(Deckblatt!$C$14&lt;&gt;'WK-Vorlagen'!$C$82),"",IF(ISERROR(MATCH(VALUE(MID(G156,1,2)),Schwierigkeitsstufen!$G$7:$G$19,0)),"Gerät falsch",LOOKUP(VALUE(MID(G156,1,2)),Schwierigkeitsstufen!$G$7:$G$19,Schwierigkeitsstufen!$H$7:$H$19)))</f>
        <v/>
      </c>
      <c r="AB156" s="250" t="str">
        <f>IF((($A156="")*($B156=""))+((MID($Y156,1,4)&lt;&gt;"Wahl")*(Deckblatt!$C$14='WK-Vorlagen'!$C$82))+(Deckblatt!$C$14&lt;&gt;'WK-Vorlagen'!$C$82),"",IF(ISERROR(MATCH(VALUE(MID(H156,1,2)),Schwierigkeitsstufen!$G$7:$G$19,0)),"Gerät falsch",LOOKUP(VALUE(MID(H156,1,2)),Schwierigkeitsstufen!$G$7:$G$19,Schwierigkeitsstufen!$H$7:$H$19)))</f>
        <v/>
      </c>
      <c r="AC156" s="250" t="str">
        <f>IF((($A156="")*($B156=""))+((MID($Y156,1,4)&lt;&gt;"Wahl")*(Deckblatt!$C$14='WK-Vorlagen'!$C$82))+(Deckblatt!$C$14&lt;&gt;'WK-Vorlagen'!$C$82),"",IF(ISERROR(MATCH(VALUE(MID(I156,1,2)),Schwierigkeitsstufen!$G$7:$G$19,0)),"Gerät falsch",LOOKUP(VALUE(MID(I156,1,2)),Schwierigkeitsstufen!$G$7:$G$19,Schwierigkeitsstufen!$H$7:$H$19)))</f>
        <v/>
      </c>
      <c r="AD156" s="251" t="str">
        <f>IF((($A156="")*($B156=""))+((MID($Y156,1,4)&lt;&gt;"Wahl")*(Deckblatt!$C$14='WK-Vorlagen'!$C$82))+(Deckblatt!$C$14&lt;&gt;'WK-Vorlagen'!$C$82),"",IF(ISERROR(MATCH(VALUE(MID(J156,1,2)),Schwierigkeitsstufen!$G$7:$G$19,0)),"Gerät falsch",LOOKUP(VALUE(MID(J156,1,2)),Schwierigkeitsstufen!$G$7:$G$19,Schwierigkeitsstufen!$H$7:$H$19)))</f>
        <v/>
      </c>
      <c r="AE156" s="211"/>
      <c r="AG156" s="221" t="str">
        <f t="shared" si="18"/>
        <v/>
      </c>
      <c r="AH156" s="222" t="str">
        <f t="shared" si="20"/>
        <v/>
      </c>
      <c r="AI156" s="220">
        <f t="shared" si="25"/>
        <v>4</v>
      </c>
      <c r="AJ156" s="222">
        <f t="shared" si="21"/>
        <v>0</v>
      </c>
      <c r="AK156" s="299" t="str">
        <f>IF(ISERROR(LOOKUP(E156,WKNrListe,Übersicht!$R$7:$R$46)),"-",LOOKUP(E156,WKNrListe,Übersicht!$R$7:$R$46))</f>
        <v>-</v>
      </c>
      <c r="AL156" s="299" t="str">
        <f t="shared" si="24"/>
        <v>-</v>
      </c>
      <c r="AM156" s="303"/>
      <c r="AN156" s="174" t="str">
        <f t="shared" si="17"/>
        <v>Leer</v>
      </c>
    </row>
    <row r="157" spans="1:40" s="174" customFormat="1" ht="15" customHeight="1">
      <c r="A157" s="63"/>
      <c r="B157" s="63"/>
      <c r="C157" s="84"/>
      <c r="D157" s="85"/>
      <c r="E157" s="62"/>
      <c r="F157" s="62"/>
      <c r="G157" s="62"/>
      <c r="H157" s="62"/>
      <c r="I157" s="62"/>
      <c r="J157" s="62"/>
      <c r="K157" s="62"/>
      <c r="L157" s="62"/>
      <c r="M157" s="62"/>
      <c r="N157" s="62"/>
      <c r="O157" s="62"/>
      <c r="P157" s="62"/>
      <c r="Q157" s="62"/>
      <c r="R157" s="62"/>
      <c r="S157" s="258"/>
      <c r="T157" s="248" t="str">
        <f t="shared" si="22"/>
        <v/>
      </c>
      <c r="U157" s="249" t="str">
        <f t="shared" si="23"/>
        <v/>
      </c>
      <c r="V157" s="294" t="str">
        <f t="shared" si="19"/>
        <v/>
      </c>
      <c r="W157" s="294" t="str">
        <f>IF(((E157="")+(F157="")),"",IF(VLOOKUP(F157,Mannschaften!$A$1:$B$54,2,FALSE)&lt;&gt;E157,"Reiter Mannschaften füllen",""))</f>
        <v/>
      </c>
      <c r="X157" s="248" t="str">
        <f>IF(ISBLANK(C157),"",IF((U157&gt;(LOOKUP(E157,WKNrListe,Übersicht!$O$7:$O$46)))+(U157&lt;(LOOKUP(E157,WKNrListe,Übersicht!$P$7:$P$46))),"JG falsch",""))</f>
        <v/>
      </c>
      <c r="Y157" s="255" t="str">
        <f>IF((A157="")*(B157=""),"",IF(ISERROR(MATCH(E157,WKNrListe,0)),"WK falsch",LOOKUP(E157,WKNrListe,Übersicht!$B$7:$B$46)))</f>
        <v/>
      </c>
      <c r="Z157" s="269" t="str">
        <f>IF(((AJ157=0)*(AH157&lt;&gt;"")*(AK157="-"))+((AJ157&lt;&gt;0)*(AH157&lt;&gt;"")*(AK157="-")),IF(AG157="X",Übersicht!$C$70,Übersicht!$C$69),"-")</f>
        <v>-</v>
      </c>
      <c r="AA157" s="252" t="str">
        <f>IF((($A157="")*($B157=""))+((MID($Y157,1,4)&lt;&gt;"Wahl")*(Deckblatt!$C$14='WK-Vorlagen'!$C$82))+(Deckblatt!$C$14&lt;&gt;'WK-Vorlagen'!$C$82),"",IF(ISERROR(MATCH(VALUE(MID(G157,1,2)),Schwierigkeitsstufen!$G$7:$G$19,0)),"Gerät falsch",LOOKUP(VALUE(MID(G157,1,2)),Schwierigkeitsstufen!$G$7:$G$19,Schwierigkeitsstufen!$H$7:$H$19)))</f>
        <v/>
      </c>
      <c r="AB157" s="250" t="str">
        <f>IF((($A157="")*($B157=""))+((MID($Y157,1,4)&lt;&gt;"Wahl")*(Deckblatt!$C$14='WK-Vorlagen'!$C$82))+(Deckblatt!$C$14&lt;&gt;'WK-Vorlagen'!$C$82),"",IF(ISERROR(MATCH(VALUE(MID(H157,1,2)),Schwierigkeitsstufen!$G$7:$G$19,0)),"Gerät falsch",LOOKUP(VALUE(MID(H157,1,2)),Schwierigkeitsstufen!$G$7:$G$19,Schwierigkeitsstufen!$H$7:$H$19)))</f>
        <v/>
      </c>
      <c r="AC157" s="250" t="str">
        <f>IF((($A157="")*($B157=""))+((MID($Y157,1,4)&lt;&gt;"Wahl")*(Deckblatt!$C$14='WK-Vorlagen'!$C$82))+(Deckblatt!$C$14&lt;&gt;'WK-Vorlagen'!$C$82),"",IF(ISERROR(MATCH(VALUE(MID(I157,1,2)),Schwierigkeitsstufen!$G$7:$G$19,0)),"Gerät falsch",LOOKUP(VALUE(MID(I157,1,2)),Schwierigkeitsstufen!$G$7:$G$19,Schwierigkeitsstufen!$H$7:$H$19)))</f>
        <v/>
      </c>
      <c r="AD157" s="251" t="str">
        <f>IF((($A157="")*($B157=""))+((MID($Y157,1,4)&lt;&gt;"Wahl")*(Deckblatt!$C$14='WK-Vorlagen'!$C$82))+(Deckblatt!$C$14&lt;&gt;'WK-Vorlagen'!$C$82),"",IF(ISERROR(MATCH(VALUE(MID(J157,1,2)),Schwierigkeitsstufen!$G$7:$G$19,0)),"Gerät falsch",LOOKUP(VALUE(MID(J157,1,2)),Schwierigkeitsstufen!$G$7:$G$19,Schwierigkeitsstufen!$H$7:$H$19)))</f>
        <v/>
      </c>
      <c r="AE157" s="211"/>
      <c r="AG157" s="221" t="str">
        <f t="shared" si="18"/>
        <v/>
      </c>
      <c r="AH157" s="222" t="str">
        <f t="shared" si="20"/>
        <v/>
      </c>
      <c r="AI157" s="220">
        <f t="shared" si="25"/>
        <v>4</v>
      </c>
      <c r="AJ157" s="222">
        <f t="shared" si="21"/>
        <v>0</v>
      </c>
      <c r="AK157" s="299" t="str">
        <f>IF(ISERROR(LOOKUP(E157,WKNrListe,Übersicht!$R$7:$R$46)),"-",LOOKUP(E157,WKNrListe,Übersicht!$R$7:$R$46))</f>
        <v>-</v>
      </c>
      <c r="AL157" s="299" t="str">
        <f t="shared" si="24"/>
        <v>-</v>
      </c>
      <c r="AM157" s="303"/>
      <c r="AN157" s="174" t="str">
        <f t="shared" si="17"/>
        <v>Leer</v>
      </c>
    </row>
    <row r="158" spans="1:40" s="174" customFormat="1" ht="15" customHeight="1">
      <c r="A158" s="63"/>
      <c r="B158" s="63"/>
      <c r="C158" s="84"/>
      <c r="D158" s="85"/>
      <c r="E158" s="62"/>
      <c r="F158" s="62"/>
      <c r="G158" s="62"/>
      <c r="H158" s="62"/>
      <c r="I158" s="62"/>
      <c r="J158" s="62"/>
      <c r="K158" s="62"/>
      <c r="L158" s="62"/>
      <c r="M158" s="62"/>
      <c r="N158" s="62"/>
      <c r="O158" s="62"/>
      <c r="P158" s="62"/>
      <c r="Q158" s="62"/>
      <c r="R158" s="62"/>
      <c r="S158" s="258"/>
      <c r="T158" s="248" t="str">
        <f t="shared" si="22"/>
        <v/>
      </c>
      <c r="U158" s="249" t="str">
        <f t="shared" si="23"/>
        <v/>
      </c>
      <c r="V158" s="294" t="str">
        <f t="shared" si="19"/>
        <v/>
      </c>
      <c r="W158" s="294" t="str">
        <f>IF(((E158="")+(F158="")),"",IF(VLOOKUP(F158,Mannschaften!$A$1:$B$54,2,FALSE)&lt;&gt;E158,"Reiter Mannschaften füllen",""))</f>
        <v/>
      </c>
      <c r="X158" s="248" t="str">
        <f>IF(ISBLANK(C158),"",IF((U158&gt;(LOOKUP(E158,WKNrListe,Übersicht!$O$7:$O$46)))+(U158&lt;(LOOKUP(E158,WKNrListe,Übersicht!$P$7:$P$46))),"JG falsch",""))</f>
        <v/>
      </c>
      <c r="Y158" s="255" t="str">
        <f>IF((A158="")*(B158=""),"",IF(ISERROR(MATCH(E158,WKNrListe,0)),"WK falsch",LOOKUP(E158,WKNrListe,Übersicht!$B$7:$B$46)))</f>
        <v/>
      </c>
      <c r="Z158" s="269" t="str">
        <f>IF(((AJ158=0)*(AH158&lt;&gt;"")*(AK158="-"))+((AJ158&lt;&gt;0)*(AH158&lt;&gt;"")*(AK158="-")),IF(AG158="X",Übersicht!$C$70,Übersicht!$C$69),"-")</f>
        <v>-</v>
      </c>
      <c r="AA158" s="252" t="str">
        <f>IF((($A158="")*($B158=""))+((MID($Y158,1,4)&lt;&gt;"Wahl")*(Deckblatt!$C$14='WK-Vorlagen'!$C$82))+(Deckblatt!$C$14&lt;&gt;'WK-Vorlagen'!$C$82),"",IF(ISERROR(MATCH(VALUE(MID(G158,1,2)),Schwierigkeitsstufen!$G$7:$G$19,0)),"Gerät falsch",LOOKUP(VALUE(MID(G158,1,2)),Schwierigkeitsstufen!$G$7:$G$19,Schwierigkeitsstufen!$H$7:$H$19)))</f>
        <v/>
      </c>
      <c r="AB158" s="250" t="str">
        <f>IF((($A158="")*($B158=""))+((MID($Y158,1,4)&lt;&gt;"Wahl")*(Deckblatt!$C$14='WK-Vorlagen'!$C$82))+(Deckblatt!$C$14&lt;&gt;'WK-Vorlagen'!$C$82),"",IF(ISERROR(MATCH(VALUE(MID(H158,1,2)),Schwierigkeitsstufen!$G$7:$G$19,0)),"Gerät falsch",LOOKUP(VALUE(MID(H158,1,2)),Schwierigkeitsstufen!$G$7:$G$19,Schwierigkeitsstufen!$H$7:$H$19)))</f>
        <v/>
      </c>
      <c r="AC158" s="250" t="str">
        <f>IF((($A158="")*($B158=""))+((MID($Y158,1,4)&lt;&gt;"Wahl")*(Deckblatt!$C$14='WK-Vorlagen'!$C$82))+(Deckblatt!$C$14&lt;&gt;'WK-Vorlagen'!$C$82),"",IF(ISERROR(MATCH(VALUE(MID(I158,1,2)),Schwierigkeitsstufen!$G$7:$G$19,0)),"Gerät falsch",LOOKUP(VALUE(MID(I158,1,2)),Schwierigkeitsstufen!$G$7:$G$19,Schwierigkeitsstufen!$H$7:$H$19)))</f>
        <v/>
      </c>
      <c r="AD158" s="251" t="str">
        <f>IF((($A158="")*($B158=""))+((MID($Y158,1,4)&lt;&gt;"Wahl")*(Deckblatt!$C$14='WK-Vorlagen'!$C$82))+(Deckblatt!$C$14&lt;&gt;'WK-Vorlagen'!$C$82),"",IF(ISERROR(MATCH(VALUE(MID(J158,1,2)),Schwierigkeitsstufen!$G$7:$G$19,0)),"Gerät falsch",LOOKUP(VALUE(MID(J158,1,2)),Schwierigkeitsstufen!$G$7:$G$19,Schwierigkeitsstufen!$H$7:$H$19)))</f>
        <v/>
      </c>
      <c r="AE158" s="211"/>
      <c r="AG158" s="221" t="str">
        <f t="shared" si="18"/>
        <v/>
      </c>
      <c r="AH158" s="222" t="str">
        <f t="shared" si="20"/>
        <v/>
      </c>
      <c r="AI158" s="220">
        <f t="shared" si="25"/>
        <v>4</v>
      </c>
      <c r="AJ158" s="222">
        <f t="shared" si="21"/>
        <v>0</v>
      </c>
      <c r="AK158" s="299" t="str">
        <f>IF(ISERROR(LOOKUP(E158,WKNrListe,Übersicht!$R$7:$R$46)),"-",LOOKUP(E158,WKNrListe,Übersicht!$R$7:$R$46))</f>
        <v>-</v>
      </c>
      <c r="AL158" s="299" t="str">
        <f t="shared" si="24"/>
        <v>-</v>
      </c>
      <c r="AM158" s="303"/>
      <c r="AN158" s="174" t="str">
        <f t="shared" si="17"/>
        <v>Leer</v>
      </c>
    </row>
    <row r="159" spans="1:40" s="174" customFormat="1" ht="15" customHeight="1">
      <c r="A159" s="63"/>
      <c r="B159" s="63"/>
      <c r="C159" s="84"/>
      <c r="D159" s="85"/>
      <c r="E159" s="62"/>
      <c r="F159" s="62"/>
      <c r="G159" s="62"/>
      <c r="H159" s="62"/>
      <c r="I159" s="62"/>
      <c r="J159" s="62"/>
      <c r="K159" s="62"/>
      <c r="L159" s="62"/>
      <c r="M159" s="62"/>
      <c r="N159" s="62"/>
      <c r="O159" s="62"/>
      <c r="P159" s="62"/>
      <c r="Q159" s="62"/>
      <c r="R159" s="62"/>
      <c r="S159" s="258"/>
      <c r="T159" s="248" t="str">
        <f t="shared" si="22"/>
        <v/>
      </c>
      <c r="U159" s="249" t="str">
        <f t="shared" si="23"/>
        <v/>
      </c>
      <c r="V159" s="294" t="str">
        <f t="shared" si="19"/>
        <v/>
      </c>
      <c r="W159" s="294" t="str">
        <f>IF(((E159="")+(F159="")),"",IF(VLOOKUP(F159,Mannschaften!$A$1:$B$54,2,FALSE)&lt;&gt;E159,"Reiter Mannschaften füllen",""))</f>
        <v/>
      </c>
      <c r="X159" s="248" t="str">
        <f>IF(ISBLANK(C159),"",IF((U159&gt;(LOOKUP(E159,WKNrListe,Übersicht!$O$7:$O$46)))+(U159&lt;(LOOKUP(E159,WKNrListe,Übersicht!$P$7:$P$46))),"JG falsch",""))</f>
        <v/>
      </c>
      <c r="Y159" s="255" t="str">
        <f>IF((A159="")*(B159=""),"",IF(ISERROR(MATCH(E159,WKNrListe,0)),"WK falsch",LOOKUP(E159,WKNrListe,Übersicht!$B$7:$B$46)))</f>
        <v/>
      </c>
      <c r="Z159" s="269" t="str">
        <f>IF(((AJ159=0)*(AH159&lt;&gt;"")*(AK159="-"))+((AJ159&lt;&gt;0)*(AH159&lt;&gt;"")*(AK159="-")),IF(AG159="X",Übersicht!$C$70,Übersicht!$C$69),"-")</f>
        <v>-</v>
      </c>
      <c r="AA159" s="252" t="str">
        <f>IF((($A159="")*($B159=""))+((MID($Y159,1,4)&lt;&gt;"Wahl")*(Deckblatt!$C$14='WK-Vorlagen'!$C$82))+(Deckblatt!$C$14&lt;&gt;'WK-Vorlagen'!$C$82),"",IF(ISERROR(MATCH(VALUE(MID(G159,1,2)),Schwierigkeitsstufen!$G$7:$G$19,0)),"Gerät falsch",LOOKUP(VALUE(MID(G159,1,2)),Schwierigkeitsstufen!$G$7:$G$19,Schwierigkeitsstufen!$H$7:$H$19)))</f>
        <v/>
      </c>
      <c r="AB159" s="250" t="str">
        <f>IF((($A159="")*($B159=""))+((MID($Y159,1,4)&lt;&gt;"Wahl")*(Deckblatt!$C$14='WK-Vorlagen'!$C$82))+(Deckblatt!$C$14&lt;&gt;'WK-Vorlagen'!$C$82),"",IF(ISERROR(MATCH(VALUE(MID(H159,1,2)),Schwierigkeitsstufen!$G$7:$G$19,0)),"Gerät falsch",LOOKUP(VALUE(MID(H159,1,2)),Schwierigkeitsstufen!$G$7:$G$19,Schwierigkeitsstufen!$H$7:$H$19)))</f>
        <v/>
      </c>
      <c r="AC159" s="250" t="str">
        <f>IF((($A159="")*($B159=""))+((MID($Y159,1,4)&lt;&gt;"Wahl")*(Deckblatt!$C$14='WK-Vorlagen'!$C$82))+(Deckblatt!$C$14&lt;&gt;'WK-Vorlagen'!$C$82),"",IF(ISERROR(MATCH(VALUE(MID(I159,1,2)),Schwierigkeitsstufen!$G$7:$G$19,0)),"Gerät falsch",LOOKUP(VALUE(MID(I159,1,2)),Schwierigkeitsstufen!$G$7:$G$19,Schwierigkeitsstufen!$H$7:$H$19)))</f>
        <v/>
      </c>
      <c r="AD159" s="251" t="str">
        <f>IF((($A159="")*($B159=""))+((MID($Y159,1,4)&lt;&gt;"Wahl")*(Deckblatt!$C$14='WK-Vorlagen'!$C$82))+(Deckblatt!$C$14&lt;&gt;'WK-Vorlagen'!$C$82),"",IF(ISERROR(MATCH(VALUE(MID(J159,1,2)),Schwierigkeitsstufen!$G$7:$G$19,0)),"Gerät falsch",LOOKUP(VALUE(MID(J159,1,2)),Schwierigkeitsstufen!$G$7:$G$19,Schwierigkeitsstufen!$H$7:$H$19)))</f>
        <v/>
      </c>
      <c r="AE159" s="211"/>
      <c r="AG159" s="221" t="str">
        <f t="shared" si="18"/>
        <v/>
      </c>
      <c r="AH159" s="222" t="str">
        <f t="shared" si="20"/>
        <v/>
      </c>
      <c r="AI159" s="220">
        <f t="shared" si="25"/>
        <v>4</v>
      </c>
      <c r="AJ159" s="222">
        <f t="shared" si="21"/>
        <v>0</v>
      </c>
      <c r="AK159" s="299" t="str">
        <f>IF(ISERROR(LOOKUP(E159,WKNrListe,Übersicht!$R$7:$R$46)),"-",LOOKUP(E159,WKNrListe,Übersicht!$R$7:$R$46))</f>
        <v>-</v>
      </c>
      <c r="AL159" s="299" t="str">
        <f t="shared" si="24"/>
        <v>-</v>
      </c>
      <c r="AM159" s="303"/>
      <c r="AN159" s="174" t="str">
        <f t="shared" si="17"/>
        <v>Leer</v>
      </c>
    </row>
    <row r="160" spans="1:40" s="174" customFormat="1" ht="15" customHeight="1">
      <c r="A160" s="63"/>
      <c r="B160" s="63"/>
      <c r="C160" s="84"/>
      <c r="D160" s="85"/>
      <c r="E160" s="62"/>
      <c r="F160" s="62"/>
      <c r="G160" s="62"/>
      <c r="H160" s="62"/>
      <c r="I160" s="62"/>
      <c r="J160" s="62"/>
      <c r="K160" s="62"/>
      <c r="L160" s="62"/>
      <c r="M160" s="62"/>
      <c r="N160" s="62"/>
      <c r="O160" s="62"/>
      <c r="P160" s="62"/>
      <c r="Q160" s="62"/>
      <c r="R160" s="62"/>
      <c r="S160" s="258"/>
      <c r="T160" s="248" t="str">
        <f t="shared" si="22"/>
        <v/>
      </c>
      <c r="U160" s="249" t="str">
        <f t="shared" si="23"/>
        <v/>
      </c>
      <c r="V160" s="294" t="str">
        <f t="shared" si="19"/>
        <v/>
      </c>
      <c r="W160" s="294" t="str">
        <f>IF(((E160="")+(F160="")),"",IF(VLOOKUP(F160,Mannschaften!$A$1:$B$54,2,FALSE)&lt;&gt;E160,"Reiter Mannschaften füllen",""))</f>
        <v/>
      </c>
      <c r="X160" s="248" t="str">
        <f>IF(ISBLANK(C160),"",IF((U160&gt;(LOOKUP(E160,WKNrListe,Übersicht!$O$7:$O$46)))+(U160&lt;(LOOKUP(E160,WKNrListe,Übersicht!$P$7:$P$46))),"JG falsch",""))</f>
        <v/>
      </c>
      <c r="Y160" s="255" t="str">
        <f>IF((A160="")*(B160=""),"",IF(ISERROR(MATCH(E160,WKNrListe,0)),"WK falsch",LOOKUP(E160,WKNrListe,Übersicht!$B$7:$B$46)))</f>
        <v/>
      </c>
      <c r="Z160" s="269" t="str">
        <f>IF(((AJ160=0)*(AH160&lt;&gt;"")*(AK160="-"))+((AJ160&lt;&gt;0)*(AH160&lt;&gt;"")*(AK160="-")),IF(AG160="X",Übersicht!$C$70,Übersicht!$C$69),"-")</f>
        <v>-</v>
      </c>
      <c r="AA160" s="252" t="str">
        <f>IF((($A160="")*($B160=""))+((MID($Y160,1,4)&lt;&gt;"Wahl")*(Deckblatt!$C$14='WK-Vorlagen'!$C$82))+(Deckblatt!$C$14&lt;&gt;'WK-Vorlagen'!$C$82),"",IF(ISERROR(MATCH(VALUE(MID(G160,1,2)),Schwierigkeitsstufen!$G$7:$G$19,0)),"Gerät falsch",LOOKUP(VALUE(MID(G160,1,2)),Schwierigkeitsstufen!$G$7:$G$19,Schwierigkeitsstufen!$H$7:$H$19)))</f>
        <v/>
      </c>
      <c r="AB160" s="250" t="str">
        <f>IF((($A160="")*($B160=""))+((MID($Y160,1,4)&lt;&gt;"Wahl")*(Deckblatt!$C$14='WK-Vorlagen'!$C$82))+(Deckblatt!$C$14&lt;&gt;'WK-Vorlagen'!$C$82),"",IF(ISERROR(MATCH(VALUE(MID(H160,1,2)),Schwierigkeitsstufen!$G$7:$G$19,0)),"Gerät falsch",LOOKUP(VALUE(MID(H160,1,2)),Schwierigkeitsstufen!$G$7:$G$19,Schwierigkeitsstufen!$H$7:$H$19)))</f>
        <v/>
      </c>
      <c r="AC160" s="250" t="str">
        <f>IF((($A160="")*($B160=""))+((MID($Y160,1,4)&lt;&gt;"Wahl")*(Deckblatt!$C$14='WK-Vorlagen'!$C$82))+(Deckblatt!$C$14&lt;&gt;'WK-Vorlagen'!$C$82),"",IF(ISERROR(MATCH(VALUE(MID(I160,1,2)),Schwierigkeitsstufen!$G$7:$G$19,0)),"Gerät falsch",LOOKUP(VALUE(MID(I160,1,2)),Schwierigkeitsstufen!$G$7:$G$19,Schwierigkeitsstufen!$H$7:$H$19)))</f>
        <v/>
      </c>
      <c r="AD160" s="251" t="str">
        <f>IF((($A160="")*($B160=""))+((MID($Y160,1,4)&lt;&gt;"Wahl")*(Deckblatt!$C$14='WK-Vorlagen'!$C$82))+(Deckblatt!$C$14&lt;&gt;'WK-Vorlagen'!$C$82),"",IF(ISERROR(MATCH(VALUE(MID(J160,1,2)),Schwierigkeitsstufen!$G$7:$G$19,0)),"Gerät falsch",LOOKUP(VALUE(MID(J160,1,2)),Schwierigkeitsstufen!$G$7:$G$19,Schwierigkeitsstufen!$H$7:$H$19)))</f>
        <v/>
      </c>
      <c r="AE160" s="211"/>
      <c r="AG160" s="221" t="str">
        <f t="shared" si="18"/>
        <v/>
      </c>
      <c r="AH160" s="222" t="str">
        <f t="shared" si="20"/>
        <v/>
      </c>
      <c r="AI160" s="220">
        <f t="shared" si="25"/>
        <v>4</v>
      </c>
      <c r="AJ160" s="222">
        <f t="shared" si="21"/>
        <v>0</v>
      </c>
      <c r="AK160" s="299" t="str">
        <f>IF(ISERROR(LOOKUP(E160,WKNrListe,Übersicht!$R$7:$R$46)),"-",LOOKUP(E160,WKNrListe,Übersicht!$R$7:$R$46))</f>
        <v>-</v>
      </c>
      <c r="AL160" s="299" t="str">
        <f t="shared" si="24"/>
        <v>-</v>
      </c>
      <c r="AM160" s="303"/>
      <c r="AN160" s="174" t="str">
        <f t="shared" si="17"/>
        <v>Leer</v>
      </c>
    </row>
    <row r="161" spans="1:40" s="174" customFormat="1" ht="15" customHeight="1">
      <c r="A161" s="63"/>
      <c r="B161" s="63"/>
      <c r="C161" s="84"/>
      <c r="D161" s="85"/>
      <c r="E161" s="62"/>
      <c r="F161" s="62"/>
      <c r="G161" s="62"/>
      <c r="H161" s="62"/>
      <c r="I161" s="62"/>
      <c r="J161" s="62"/>
      <c r="K161" s="62"/>
      <c r="L161" s="62"/>
      <c r="M161" s="62"/>
      <c r="N161" s="62"/>
      <c r="O161" s="62"/>
      <c r="P161" s="62"/>
      <c r="Q161" s="62"/>
      <c r="R161" s="62"/>
      <c r="S161" s="258"/>
      <c r="T161" s="248" t="str">
        <f t="shared" si="22"/>
        <v/>
      </c>
      <c r="U161" s="249" t="str">
        <f t="shared" si="23"/>
        <v/>
      </c>
      <c r="V161" s="294" t="str">
        <f t="shared" si="19"/>
        <v/>
      </c>
      <c r="W161" s="294" t="str">
        <f>IF(((E161="")+(F161="")),"",IF(VLOOKUP(F161,Mannschaften!$A$1:$B$54,2,FALSE)&lt;&gt;E161,"Reiter Mannschaften füllen",""))</f>
        <v/>
      </c>
      <c r="X161" s="248" t="str">
        <f>IF(ISBLANK(C161),"",IF((U161&gt;(LOOKUP(E161,WKNrListe,Übersicht!$O$7:$O$46)))+(U161&lt;(LOOKUP(E161,WKNrListe,Übersicht!$P$7:$P$46))),"JG falsch",""))</f>
        <v/>
      </c>
      <c r="Y161" s="255" t="str">
        <f>IF((A161="")*(B161=""),"",IF(ISERROR(MATCH(E161,WKNrListe,0)),"WK falsch",LOOKUP(E161,WKNrListe,Übersicht!$B$7:$B$46)))</f>
        <v/>
      </c>
      <c r="Z161" s="269" t="str">
        <f>IF(((AJ161=0)*(AH161&lt;&gt;"")*(AK161="-"))+((AJ161&lt;&gt;0)*(AH161&lt;&gt;"")*(AK161="-")),IF(AG161="X",Übersicht!$C$70,Übersicht!$C$69),"-")</f>
        <v>-</v>
      </c>
      <c r="AA161" s="252" t="str">
        <f>IF((($A161="")*($B161=""))+((MID($Y161,1,4)&lt;&gt;"Wahl")*(Deckblatt!$C$14='WK-Vorlagen'!$C$82))+(Deckblatt!$C$14&lt;&gt;'WK-Vorlagen'!$C$82),"",IF(ISERROR(MATCH(VALUE(MID(G161,1,2)),Schwierigkeitsstufen!$G$7:$G$19,0)),"Gerät falsch",LOOKUP(VALUE(MID(G161,1,2)),Schwierigkeitsstufen!$G$7:$G$19,Schwierigkeitsstufen!$H$7:$H$19)))</f>
        <v/>
      </c>
      <c r="AB161" s="250" t="str">
        <f>IF((($A161="")*($B161=""))+((MID($Y161,1,4)&lt;&gt;"Wahl")*(Deckblatt!$C$14='WK-Vorlagen'!$C$82))+(Deckblatt!$C$14&lt;&gt;'WK-Vorlagen'!$C$82),"",IF(ISERROR(MATCH(VALUE(MID(H161,1,2)),Schwierigkeitsstufen!$G$7:$G$19,0)),"Gerät falsch",LOOKUP(VALUE(MID(H161,1,2)),Schwierigkeitsstufen!$G$7:$G$19,Schwierigkeitsstufen!$H$7:$H$19)))</f>
        <v/>
      </c>
      <c r="AC161" s="250" t="str">
        <f>IF((($A161="")*($B161=""))+((MID($Y161,1,4)&lt;&gt;"Wahl")*(Deckblatt!$C$14='WK-Vorlagen'!$C$82))+(Deckblatt!$C$14&lt;&gt;'WK-Vorlagen'!$C$82),"",IF(ISERROR(MATCH(VALUE(MID(I161,1,2)),Schwierigkeitsstufen!$G$7:$G$19,0)),"Gerät falsch",LOOKUP(VALUE(MID(I161,1,2)),Schwierigkeitsstufen!$G$7:$G$19,Schwierigkeitsstufen!$H$7:$H$19)))</f>
        <v/>
      </c>
      <c r="AD161" s="251" t="str">
        <f>IF((($A161="")*($B161=""))+((MID($Y161,1,4)&lt;&gt;"Wahl")*(Deckblatt!$C$14='WK-Vorlagen'!$C$82))+(Deckblatt!$C$14&lt;&gt;'WK-Vorlagen'!$C$82),"",IF(ISERROR(MATCH(VALUE(MID(J161,1,2)),Schwierigkeitsstufen!$G$7:$G$19,0)),"Gerät falsch",LOOKUP(VALUE(MID(J161,1,2)),Schwierigkeitsstufen!$G$7:$G$19,Schwierigkeitsstufen!$H$7:$H$19)))</f>
        <v/>
      </c>
      <c r="AE161" s="211"/>
      <c r="AG161" s="221" t="str">
        <f t="shared" si="18"/>
        <v/>
      </c>
      <c r="AH161" s="222" t="str">
        <f t="shared" si="20"/>
        <v/>
      </c>
      <c r="AI161" s="220">
        <f t="shared" si="25"/>
        <v>4</v>
      </c>
      <c r="AJ161" s="222">
        <f t="shared" si="21"/>
        <v>0</v>
      </c>
      <c r="AK161" s="299" t="str">
        <f>IF(ISERROR(LOOKUP(E161,WKNrListe,Übersicht!$R$7:$R$46)),"-",LOOKUP(E161,WKNrListe,Übersicht!$R$7:$R$46))</f>
        <v>-</v>
      </c>
      <c r="AL161" s="299" t="str">
        <f t="shared" si="24"/>
        <v>-</v>
      </c>
      <c r="AM161" s="303"/>
      <c r="AN161" s="174" t="str">
        <f t="shared" si="17"/>
        <v>Leer</v>
      </c>
    </row>
    <row r="162" spans="1:40" s="174" customFormat="1" ht="15" customHeight="1">
      <c r="A162" s="63"/>
      <c r="B162" s="63"/>
      <c r="C162" s="84"/>
      <c r="D162" s="85"/>
      <c r="E162" s="62"/>
      <c r="F162" s="62"/>
      <c r="G162" s="62"/>
      <c r="H162" s="62"/>
      <c r="I162" s="62"/>
      <c r="J162" s="62"/>
      <c r="K162" s="62"/>
      <c r="L162" s="62"/>
      <c r="M162" s="62"/>
      <c r="N162" s="62"/>
      <c r="O162" s="62"/>
      <c r="P162" s="62"/>
      <c r="Q162" s="62"/>
      <c r="R162" s="62"/>
      <c r="S162" s="258"/>
      <c r="T162" s="248" t="str">
        <f t="shared" si="22"/>
        <v/>
      </c>
      <c r="U162" s="249" t="str">
        <f t="shared" si="23"/>
        <v/>
      </c>
      <c r="V162" s="294" t="str">
        <f t="shared" si="19"/>
        <v/>
      </c>
      <c r="W162" s="294" t="str">
        <f>IF(((E162="")+(F162="")),"",IF(VLOOKUP(F162,Mannschaften!$A$1:$B$54,2,FALSE)&lt;&gt;E162,"Reiter Mannschaften füllen",""))</f>
        <v/>
      </c>
      <c r="X162" s="248" t="str">
        <f>IF(ISBLANK(C162),"",IF((U162&gt;(LOOKUP(E162,WKNrListe,Übersicht!$O$7:$O$46)))+(U162&lt;(LOOKUP(E162,WKNrListe,Übersicht!$P$7:$P$46))),"JG falsch",""))</f>
        <v/>
      </c>
      <c r="Y162" s="255" t="str">
        <f>IF((A162="")*(B162=""),"",IF(ISERROR(MATCH(E162,WKNrListe,0)),"WK falsch",LOOKUP(E162,WKNrListe,Übersicht!$B$7:$B$46)))</f>
        <v/>
      </c>
      <c r="Z162" s="269" t="str">
        <f>IF(((AJ162=0)*(AH162&lt;&gt;"")*(AK162="-"))+((AJ162&lt;&gt;0)*(AH162&lt;&gt;"")*(AK162="-")),IF(AG162="X",Übersicht!$C$70,Übersicht!$C$69),"-")</f>
        <v>-</v>
      </c>
      <c r="AA162" s="252" t="str">
        <f>IF((($A162="")*($B162=""))+((MID($Y162,1,4)&lt;&gt;"Wahl")*(Deckblatt!$C$14='WK-Vorlagen'!$C$82))+(Deckblatt!$C$14&lt;&gt;'WK-Vorlagen'!$C$82),"",IF(ISERROR(MATCH(VALUE(MID(G162,1,2)),Schwierigkeitsstufen!$G$7:$G$19,0)),"Gerät falsch",LOOKUP(VALUE(MID(G162,1,2)),Schwierigkeitsstufen!$G$7:$G$19,Schwierigkeitsstufen!$H$7:$H$19)))</f>
        <v/>
      </c>
      <c r="AB162" s="250" t="str">
        <f>IF((($A162="")*($B162=""))+((MID($Y162,1,4)&lt;&gt;"Wahl")*(Deckblatt!$C$14='WK-Vorlagen'!$C$82))+(Deckblatt!$C$14&lt;&gt;'WK-Vorlagen'!$C$82),"",IF(ISERROR(MATCH(VALUE(MID(H162,1,2)),Schwierigkeitsstufen!$G$7:$G$19,0)),"Gerät falsch",LOOKUP(VALUE(MID(H162,1,2)),Schwierigkeitsstufen!$G$7:$G$19,Schwierigkeitsstufen!$H$7:$H$19)))</f>
        <v/>
      </c>
      <c r="AC162" s="250" t="str">
        <f>IF((($A162="")*($B162=""))+((MID($Y162,1,4)&lt;&gt;"Wahl")*(Deckblatt!$C$14='WK-Vorlagen'!$C$82))+(Deckblatt!$C$14&lt;&gt;'WK-Vorlagen'!$C$82),"",IF(ISERROR(MATCH(VALUE(MID(I162,1,2)),Schwierigkeitsstufen!$G$7:$G$19,0)),"Gerät falsch",LOOKUP(VALUE(MID(I162,1,2)),Schwierigkeitsstufen!$G$7:$G$19,Schwierigkeitsstufen!$H$7:$H$19)))</f>
        <v/>
      </c>
      <c r="AD162" s="251" t="str">
        <f>IF((($A162="")*($B162=""))+((MID($Y162,1,4)&lt;&gt;"Wahl")*(Deckblatt!$C$14='WK-Vorlagen'!$C$82))+(Deckblatt!$C$14&lt;&gt;'WK-Vorlagen'!$C$82),"",IF(ISERROR(MATCH(VALUE(MID(J162,1,2)),Schwierigkeitsstufen!$G$7:$G$19,0)),"Gerät falsch",LOOKUP(VALUE(MID(J162,1,2)),Schwierigkeitsstufen!$G$7:$G$19,Schwierigkeitsstufen!$H$7:$H$19)))</f>
        <v/>
      </c>
      <c r="AE162" s="211"/>
      <c r="AG162" s="221" t="str">
        <f t="shared" si="18"/>
        <v/>
      </c>
      <c r="AH162" s="222" t="str">
        <f t="shared" si="20"/>
        <v/>
      </c>
      <c r="AI162" s="220">
        <f t="shared" si="25"/>
        <v>4</v>
      </c>
      <c r="AJ162" s="222">
        <f t="shared" si="21"/>
        <v>0</v>
      </c>
      <c r="AK162" s="299" t="str">
        <f>IF(ISERROR(LOOKUP(E162,WKNrListe,Übersicht!$R$7:$R$46)),"-",LOOKUP(E162,WKNrListe,Übersicht!$R$7:$R$46))</f>
        <v>-</v>
      </c>
      <c r="AL162" s="299" t="str">
        <f t="shared" si="24"/>
        <v>-</v>
      </c>
      <c r="AM162" s="303"/>
      <c r="AN162" s="174" t="str">
        <f t="shared" si="17"/>
        <v>Leer</v>
      </c>
    </row>
    <row r="163" spans="1:40" s="174" customFormat="1" ht="15" customHeight="1">
      <c r="A163" s="63"/>
      <c r="B163" s="63"/>
      <c r="C163" s="84"/>
      <c r="D163" s="85"/>
      <c r="E163" s="62"/>
      <c r="F163" s="62"/>
      <c r="G163" s="62"/>
      <c r="H163" s="62"/>
      <c r="I163" s="62"/>
      <c r="J163" s="62"/>
      <c r="K163" s="62"/>
      <c r="L163" s="62"/>
      <c r="M163" s="62"/>
      <c r="N163" s="62"/>
      <c r="O163" s="62"/>
      <c r="P163" s="62"/>
      <c r="Q163" s="62"/>
      <c r="R163" s="62"/>
      <c r="S163" s="258"/>
      <c r="T163" s="248" t="str">
        <f t="shared" si="22"/>
        <v/>
      </c>
      <c r="U163" s="249" t="str">
        <f t="shared" si="23"/>
        <v/>
      </c>
      <c r="V163" s="294" t="str">
        <f t="shared" si="19"/>
        <v/>
      </c>
      <c r="W163" s="294" t="str">
        <f>IF(((E163="")+(F163="")),"",IF(VLOOKUP(F163,Mannschaften!$A$1:$B$54,2,FALSE)&lt;&gt;E163,"Reiter Mannschaften füllen",""))</f>
        <v/>
      </c>
      <c r="X163" s="248" t="str">
        <f>IF(ISBLANK(C163),"",IF((U163&gt;(LOOKUP(E163,WKNrListe,Übersicht!$O$7:$O$46)))+(U163&lt;(LOOKUP(E163,WKNrListe,Übersicht!$P$7:$P$46))),"JG falsch",""))</f>
        <v/>
      </c>
      <c r="Y163" s="255" t="str">
        <f>IF((A163="")*(B163=""),"",IF(ISERROR(MATCH(E163,WKNrListe,0)),"WK falsch",LOOKUP(E163,WKNrListe,Übersicht!$B$7:$B$46)))</f>
        <v/>
      </c>
      <c r="Z163" s="269" t="str">
        <f>IF(((AJ163=0)*(AH163&lt;&gt;"")*(AK163="-"))+((AJ163&lt;&gt;0)*(AH163&lt;&gt;"")*(AK163="-")),IF(AG163="X",Übersicht!$C$70,Übersicht!$C$69),"-")</f>
        <v>-</v>
      </c>
      <c r="AA163" s="252" t="str">
        <f>IF((($A163="")*($B163=""))+((MID($Y163,1,4)&lt;&gt;"Wahl")*(Deckblatt!$C$14='WK-Vorlagen'!$C$82))+(Deckblatt!$C$14&lt;&gt;'WK-Vorlagen'!$C$82),"",IF(ISERROR(MATCH(VALUE(MID(G163,1,2)),Schwierigkeitsstufen!$G$7:$G$19,0)),"Gerät falsch",LOOKUP(VALUE(MID(G163,1,2)),Schwierigkeitsstufen!$G$7:$G$19,Schwierigkeitsstufen!$H$7:$H$19)))</f>
        <v/>
      </c>
      <c r="AB163" s="250" t="str">
        <f>IF((($A163="")*($B163=""))+((MID($Y163,1,4)&lt;&gt;"Wahl")*(Deckblatt!$C$14='WK-Vorlagen'!$C$82))+(Deckblatt!$C$14&lt;&gt;'WK-Vorlagen'!$C$82),"",IF(ISERROR(MATCH(VALUE(MID(H163,1,2)),Schwierigkeitsstufen!$G$7:$G$19,0)),"Gerät falsch",LOOKUP(VALUE(MID(H163,1,2)),Schwierigkeitsstufen!$G$7:$G$19,Schwierigkeitsstufen!$H$7:$H$19)))</f>
        <v/>
      </c>
      <c r="AC163" s="250" t="str">
        <f>IF((($A163="")*($B163=""))+((MID($Y163,1,4)&lt;&gt;"Wahl")*(Deckblatt!$C$14='WK-Vorlagen'!$C$82))+(Deckblatt!$C$14&lt;&gt;'WK-Vorlagen'!$C$82),"",IF(ISERROR(MATCH(VALUE(MID(I163,1,2)),Schwierigkeitsstufen!$G$7:$G$19,0)),"Gerät falsch",LOOKUP(VALUE(MID(I163,1,2)),Schwierigkeitsstufen!$G$7:$G$19,Schwierigkeitsstufen!$H$7:$H$19)))</f>
        <v/>
      </c>
      <c r="AD163" s="251" t="str">
        <f>IF((($A163="")*($B163=""))+((MID($Y163,1,4)&lt;&gt;"Wahl")*(Deckblatt!$C$14='WK-Vorlagen'!$C$82))+(Deckblatt!$C$14&lt;&gt;'WK-Vorlagen'!$C$82),"",IF(ISERROR(MATCH(VALUE(MID(J163,1,2)),Schwierigkeitsstufen!$G$7:$G$19,0)),"Gerät falsch",LOOKUP(VALUE(MID(J163,1,2)),Schwierigkeitsstufen!$G$7:$G$19,Schwierigkeitsstufen!$H$7:$H$19)))</f>
        <v/>
      </c>
      <c r="AE163" s="211"/>
      <c r="AG163" s="221" t="str">
        <f t="shared" si="18"/>
        <v/>
      </c>
      <c r="AH163" s="222" t="str">
        <f t="shared" si="20"/>
        <v/>
      </c>
      <c r="AI163" s="220">
        <f t="shared" si="25"/>
        <v>4</v>
      </c>
      <c r="AJ163" s="222">
        <f t="shared" si="21"/>
        <v>0</v>
      </c>
      <c r="AK163" s="299" t="str">
        <f>IF(ISERROR(LOOKUP(E163,WKNrListe,Übersicht!$R$7:$R$46)),"-",LOOKUP(E163,WKNrListe,Übersicht!$R$7:$R$46))</f>
        <v>-</v>
      </c>
      <c r="AL163" s="299" t="str">
        <f t="shared" si="24"/>
        <v>-</v>
      </c>
      <c r="AM163" s="303"/>
      <c r="AN163" s="174" t="str">
        <f t="shared" si="17"/>
        <v>Leer</v>
      </c>
    </row>
    <row r="164" spans="1:40" s="174" customFormat="1" ht="15" customHeight="1">
      <c r="A164" s="63"/>
      <c r="B164" s="63"/>
      <c r="C164" s="84"/>
      <c r="D164" s="85"/>
      <c r="E164" s="62"/>
      <c r="F164" s="62"/>
      <c r="G164" s="62"/>
      <c r="H164" s="62"/>
      <c r="I164" s="62"/>
      <c r="J164" s="62"/>
      <c r="K164" s="62"/>
      <c r="L164" s="62"/>
      <c r="M164" s="62"/>
      <c r="N164" s="62"/>
      <c r="O164" s="62"/>
      <c r="P164" s="62"/>
      <c r="Q164" s="62"/>
      <c r="R164" s="62"/>
      <c r="S164" s="258"/>
      <c r="T164" s="248" t="str">
        <f t="shared" si="22"/>
        <v/>
      </c>
      <c r="U164" s="249" t="str">
        <f t="shared" si="23"/>
        <v/>
      </c>
      <c r="V164" s="294" t="str">
        <f t="shared" si="19"/>
        <v/>
      </c>
      <c r="W164" s="294" t="str">
        <f>IF(((E164="")+(F164="")),"",IF(VLOOKUP(F164,Mannschaften!$A$1:$B$54,2,FALSE)&lt;&gt;E164,"Reiter Mannschaften füllen",""))</f>
        <v/>
      </c>
      <c r="X164" s="248" t="str">
        <f>IF(ISBLANK(C164),"",IF((U164&gt;(LOOKUP(E164,WKNrListe,Übersicht!$O$7:$O$46)))+(U164&lt;(LOOKUP(E164,WKNrListe,Übersicht!$P$7:$P$46))),"JG falsch",""))</f>
        <v/>
      </c>
      <c r="Y164" s="255" t="str">
        <f>IF((A164="")*(B164=""),"",IF(ISERROR(MATCH(E164,WKNrListe,0)),"WK falsch",LOOKUP(E164,WKNrListe,Übersicht!$B$7:$B$46)))</f>
        <v/>
      </c>
      <c r="Z164" s="269" t="str">
        <f>IF(((AJ164=0)*(AH164&lt;&gt;"")*(AK164="-"))+((AJ164&lt;&gt;0)*(AH164&lt;&gt;"")*(AK164="-")),IF(AG164="X",Übersicht!$C$70,Übersicht!$C$69),"-")</f>
        <v>-</v>
      </c>
      <c r="AA164" s="252" t="str">
        <f>IF((($A164="")*($B164=""))+((MID($Y164,1,4)&lt;&gt;"Wahl")*(Deckblatt!$C$14='WK-Vorlagen'!$C$82))+(Deckblatt!$C$14&lt;&gt;'WK-Vorlagen'!$C$82),"",IF(ISERROR(MATCH(VALUE(MID(G164,1,2)),Schwierigkeitsstufen!$G$7:$G$19,0)),"Gerät falsch",LOOKUP(VALUE(MID(G164,1,2)),Schwierigkeitsstufen!$G$7:$G$19,Schwierigkeitsstufen!$H$7:$H$19)))</f>
        <v/>
      </c>
      <c r="AB164" s="250" t="str">
        <f>IF((($A164="")*($B164=""))+((MID($Y164,1,4)&lt;&gt;"Wahl")*(Deckblatt!$C$14='WK-Vorlagen'!$C$82))+(Deckblatt!$C$14&lt;&gt;'WK-Vorlagen'!$C$82),"",IF(ISERROR(MATCH(VALUE(MID(H164,1,2)),Schwierigkeitsstufen!$G$7:$G$19,0)),"Gerät falsch",LOOKUP(VALUE(MID(H164,1,2)),Schwierigkeitsstufen!$G$7:$G$19,Schwierigkeitsstufen!$H$7:$H$19)))</f>
        <v/>
      </c>
      <c r="AC164" s="250" t="str">
        <f>IF((($A164="")*($B164=""))+((MID($Y164,1,4)&lt;&gt;"Wahl")*(Deckblatt!$C$14='WK-Vorlagen'!$C$82))+(Deckblatt!$C$14&lt;&gt;'WK-Vorlagen'!$C$82),"",IF(ISERROR(MATCH(VALUE(MID(I164,1,2)),Schwierigkeitsstufen!$G$7:$G$19,0)),"Gerät falsch",LOOKUP(VALUE(MID(I164,1,2)),Schwierigkeitsstufen!$G$7:$G$19,Schwierigkeitsstufen!$H$7:$H$19)))</f>
        <v/>
      </c>
      <c r="AD164" s="251" t="str">
        <f>IF((($A164="")*($B164=""))+((MID($Y164,1,4)&lt;&gt;"Wahl")*(Deckblatt!$C$14='WK-Vorlagen'!$C$82))+(Deckblatt!$C$14&lt;&gt;'WK-Vorlagen'!$C$82),"",IF(ISERROR(MATCH(VALUE(MID(J164,1,2)),Schwierigkeitsstufen!$G$7:$G$19,0)),"Gerät falsch",LOOKUP(VALUE(MID(J164,1,2)),Schwierigkeitsstufen!$G$7:$G$19,Schwierigkeitsstufen!$H$7:$H$19)))</f>
        <v/>
      </c>
      <c r="AE164" s="211"/>
      <c r="AG164" s="221" t="str">
        <f t="shared" si="18"/>
        <v/>
      </c>
      <c r="AH164" s="222" t="str">
        <f t="shared" si="20"/>
        <v/>
      </c>
      <c r="AI164" s="220">
        <f t="shared" si="25"/>
        <v>4</v>
      </c>
      <c r="AJ164" s="222">
        <f t="shared" si="21"/>
        <v>0</v>
      </c>
      <c r="AK164" s="299" t="str">
        <f>IF(ISERROR(LOOKUP(E164,WKNrListe,Übersicht!$R$7:$R$46)),"-",LOOKUP(E164,WKNrListe,Übersicht!$R$7:$R$46))</f>
        <v>-</v>
      </c>
      <c r="AL164" s="299" t="str">
        <f t="shared" si="24"/>
        <v>-</v>
      </c>
      <c r="AM164" s="303"/>
      <c r="AN164" s="174" t="str">
        <f t="shared" si="17"/>
        <v>Leer</v>
      </c>
    </row>
    <row r="165" spans="1:40" s="174" customFormat="1" ht="15" customHeight="1">
      <c r="A165" s="63"/>
      <c r="B165" s="63"/>
      <c r="C165" s="84"/>
      <c r="D165" s="85"/>
      <c r="E165" s="62"/>
      <c r="F165" s="62"/>
      <c r="G165" s="62"/>
      <c r="H165" s="62"/>
      <c r="I165" s="62"/>
      <c r="J165" s="62"/>
      <c r="K165" s="62"/>
      <c r="L165" s="62"/>
      <c r="M165" s="62"/>
      <c r="N165" s="62"/>
      <c r="O165" s="62"/>
      <c r="P165" s="62"/>
      <c r="Q165" s="62"/>
      <c r="R165" s="62"/>
      <c r="S165" s="258"/>
      <c r="T165" s="248" t="str">
        <f t="shared" si="22"/>
        <v/>
      </c>
      <c r="U165" s="249" t="str">
        <f t="shared" si="23"/>
        <v/>
      </c>
      <c r="V165" s="294" t="str">
        <f t="shared" si="19"/>
        <v/>
      </c>
      <c r="W165" s="294" t="str">
        <f>IF(((E165="")+(F165="")),"",IF(VLOOKUP(F165,Mannschaften!$A$1:$B$54,2,FALSE)&lt;&gt;E165,"Reiter Mannschaften füllen",""))</f>
        <v/>
      </c>
      <c r="X165" s="248" t="str">
        <f>IF(ISBLANK(C165),"",IF((U165&gt;(LOOKUP(E165,WKNrListe,Übersicht!$O$7:$O$46)))+(U165&lt;(LOOKUP(E165,WKNrListe,Übersicht!$P$7:$P$46))),"JG falsch",""))</f>
        <v/>
      </c>
      <c r="Y165" s="255" t="str">
        <f>IF((A165="")*(B165=""),"",IF(ISERROR(MATCH(E165,WKNrListe,0)),"WK falsch",LOOKUP(E165,WKNrListe,Übersicht!$B$7:$B$46)))</f>
        <v/>
      </c>
      <c r="Z165" s="269" t="str">
        <f>IF(((AJ165=0)*(AH165&lt;&gt;"")*(AK165="-"))+((AJ165&lt;&gt;0)*(AH165&lt;&gt;"")*(AK165="-")),IF(AG165="X",Übersicht!$C$70,Übersicht!$C$69),"-")</f>
        <v>-</v>
      </c>
      <c r="AA165" s="252" t="str">
        <f>IF((($A165="")*($B165=""))+((MID($Y165,1,4)&lt;&gt;"Wahl")*(Deckblatt!$C$14='WK-Vorlagen'!$C$82))+(Deckblatt!$C$14&lt;&gt;'WK-Vorlagen'!$C$82),"",IF(ISERROR(MATCH(VALUE(MID(G165,1,2)),Schwierigkeitsstufen!$G$7:$G$19,0)),"Gerät falsch",LOOKUP(VALUE(MID(G165,1,2)),Schwierigkeitsstufen!$G$7:$G$19,Schwierigkeitsstufen!$H$7:$H$19)))</f>
        <v/>
      </c>
      <c r="AB165" s="250" t="str">
        <f>IF((($A165="")*($B165=""))+((MID($Y165,1,4)&lt;&gt;"Wahl")*(Deckblatt!$C$14='WK-Vorlagen'!$C$82))+(Deckblatt!$C$14&lt;&gt;'WK-Vorlagen'!$C$82),"",IF(ISERROR(MATCH(VALUE(MID(H165,1,2)),Schwierigkeitsstufen!$G$7:$G$19,0)),"Gerät falsch",LOOKUP(VALUE(MID(H165,1,2)),Schwierigkeitsstufen!$G$7:$G$19,Schwierigkeitsstufen!$H$7:$H$19)))</f>
        <v/>
      </c>
      <c r="AC165" s="250" t="str">
        <f>IF((($A165="")*($B165=""))+((MID($Y165,1,4)&lt;&gt;"Wahl")*(Deckblatt!$C$14='WK-Vorlagen'!$C$82))+(Deckblatt!$C$14&lt;&gt;'WK-Vorlagen'!$C$82),"",IF(ISERROR(MATCH(VALUE(MID(I165,1,2)),Schwierigkeitsstufen!$G$7:$G$19,0)),"Gerät falsch",LOOKUP(VALUE(MID(I165,1,2)),Schwierigkeitsstufen!$G$7:$G$19,Schwierigkeitsstufen!$H$7:$H$19)))</f>
        <v/>
      </c>
      <c r="AD165" s="251" t="str">
        <f>IF((($A165="")*($B165=""))+((MID($Y165,1,4)&lt;&gt;"Wahl")*(Deckblatt!$C$14='WK-Vorlagen'!$C$82))+(Deckblatt!$C$14&lt;&gt;'WK-Vorlagen'!$C$82),"",IF(ISERROR(MATCH(VALUE(MID(J165,1,2)),Schwierigkeitsstufen!$G$7:$G$19,0)),"Gerät falsch",LOOKUP(VALUE(MID(J165,1,2)),Schwierigkeitsstufen!$G$7:$G$19,Schwierigkeitsstufen!$H$7:$H$19)))</f>
        <v/>
      </c>
      <c r="AE165" s="211"/>
      <c r="AG165" s="221" t="str">
        <f t="shared" si="18"/>
        <v/>
      </c>
      <c r="AH165" s="222" t="str">
        <f t="shared" si="20"/>
        <v/>
      </c>
      <c r="AI165" s="220">
        <f t="shared" si="25"/>
        <v>4</v>
      </c>
      <c r="AJ165" s="222">
        <f t="shared" si="21"/>
        <v>0</v>
      </c>
      <c r="AK165" s="299" t="str">
        <f>IF(ISERROR(LOOKUP(E165,WKNrListe,Übersicht!$R$7:$R$46)),"-",LOOKUP(E165,WKNrListe,Übersicht!$R$7:$R$46))</f>
        <v>-</v>
      </c>
      <c r="AL165" s="299" t="str">
        <f t="shared" si="24"/>
        <v>-</v>
      </c>
      <c r="AM165" s="303"/>
      <c r="AN165" s="174" t="str">
        <f t="shared" si="17"/>
        <v>Leer</v>
      </c>
    </row>
    <row r="166" spans="1:40" s="174" customFormat="1" ht="15" customHeight="1">
      <c r="A166" s="63"/>
      <c r="B166" s="63"/>
      <c r="C166" s="84"/>
      <c r="D166" s="85"/>
      <c r="E166" s="62"/>
      <c r="F166" s="62"/>
      <c r="G166" s="62"/>
      <c r="H166" s="62"/>
      <c r="I166" s="62"/>
      <c r="J166" s="62"/>
      <c r="K166" s="62"/>
      <c r="L166" s="62"/>
      <c r="M166" s="62"/>
      <c r="N166" s="62"/>
      <c r="O166" s="62"/>
      <c r="P166" s="62"/>
      <c r="Q166" s="62"/>
      <c r="R166" s="62"/>
      <c r="S166" s="258"/>
      <c r="T166" s="248" t="str">
        <f t="shared" si="22"/>
        <v/>
      </c>
      <c r="U166" s="249" t="str">
        <f t="shared" si="23"/>
        <v/>
      </c>
      <c r="V166" s="294" t="str">
        <f t="shared" si="19"/>
        <v/>
      </c>
      <c r="W166" s="294" t="str">
        <f>IF(((E166="")+(F166="")),"",IF(VLOOKUP(F166,Mannschaften!$A$1:$B$54,2,FALSE)&lt;&gt;E166,"Reiter Mannschaften füllen",""))</f>
        <v/>
      </c>
      <c r="X166" s="248" t="str">
        <f>IF(ISBLANK(C166),"",IF((U166&gt;(LOOKUP(E166,WKNrListe,Übersicht!$O$7:$O$46)))+(U166&lt;(LOOKUP(E166,WKNrListe,Übersicht!$P$7:$P$46))),"JG falsch",""))</f>
        <v/>
      </c>
      <c r="Y166" s="255" t="str">
        <f>IF((A166="")*(B166=""),"",IF(ISERROR(MATCH(E166,WKNrListe,0)),"WK falsch",LOOKUP(E166,WKNrListe,Übersicht!$B$7:$B$46)))</f>
        <v/>
      </c>
      <c r="Z166" s="269" t="str">
        <f>IF(((AJ166=0)*(AH166&lt;&gt;"")*(AK166="-"))+((AJ166&lt;&gt;0)*(AH166&lt;&gt;"")*(AK166="-")),IF(AG166="X",Übersicht!$C$70,Übersicht!$C$69),"-")</f>
        <v>-</v>
      </c>
      <c r="AA166" s="252" t="str">
        <f>IF((($A166="")*($B166=""))+((MID($Y166,1,4)&lt;&gt;"Wahl")*(Deckblatt!$C$14='WK-Vorlagen'!$C$82))+(Deckblatt!$C$14&lt;&gt;'WK-Vorlagen'!$C$82),"",IF(ISERROR(MATCH(VALUE(MID(G166,1,2)),Schwierigkeitsstufen!$G$7:$G$19,0)),"Gerät falsch",LOOKUP(VALUE(MID(G166,1,2)),Schwierigkeitsstufen!$G$7:$G$19,Schwierigkeitsstufen!$H$7:$H$19)))</f>
        <v/>
      </c>
      <c r="AB166" s="250" t="str">
        <f>IF((($A166="")*($B166=""))+((MID($Y166,1,4)&lt;&gt;"Wahl")*(Deckblatt!$C$14='WK-Vorlagen'!$C$82))+(Deckblatt!$C$14&lt;&gt;'WK-Vorlagen'!$C$82),"",IF(ISERROR(MATCH(VALUE(MID(H166,1,2)),Schwierigkeitsstufen!$G$7:$G$19,0)),"Gerät falsch",LOOKUP(VALUE(MID(H166,1,2)),Schwierigkeitsstufen!$G$7:$G$19,Schwierigkeitsstufen!$H$7:$H$19)))</f>
        <v/>
      </c>
      <c r="AC166" s="250" t="str">
        <f>IF((($A166="")*($B166=""))+((MID($Y166,1,4)&lt;&gt;"Wahl")*(Deckblatt!$C$14='WK-Vorlagen'!$C$82))+(Deckblatt!$C$14&lt;&gt;'WK-Vorlagen'!$C$82),"",IF(ISERROR(MATCH(VALUE(MID(I166,1,2)),Schwierigkeitsstufen!$G$7:$G$19,0)),"Gerät falsch",LOOKUP(VALUE(MID(I166,1,2)),Schwierigkeitsstufen!$G$7:$G$19,Schwierigkeitsstufen!$H$7:$H$19)))</f>
        <v/>
      </c>
      <c r="AD166" s="251" t="str">
        <f>IF((($A166="")*($B166=""))+((MID($Y166,1,4)&lt;&gt;"Wahl")*(Deckblatt!$C$14='WK-Vorlagen'!$C$82))+(Deckblatt!$C$14&lt;&gt;'WK-Vorlagen'!$C$82),"",IF(ISERROR(MATCH(VALUE(MID(J166,1,2)),Schwierigkeitsstufen!$G$7:$G$19,0)),"Gerät falsch",LOOKUP(VALUE(MID(J166,1,2)),Schwierigkeitsstufen!$G$7:$G$19,Schwierigkeitsstufen!$H$7:$H$19)))</f>
        <v/>
      </c>
      <c r="AE166" s="211"/>
      <c r="AG166" s="221" t="str">
        <f t="shared" si="18"/>
        <v/>
      </c>
      <c r="AH166" s="222" t="str">
        <f t="shared" si="20"/>
        <v/>
      </c>
      <c r="AI166" s="220">
        <f t="shared" si="25"/>
        <v>4</v>
      </c>
      <c r="AJ166" s="222">
        <f t="shared" si="21"/>
        <v>0</v>
      </c>
      <c r="AK166" s="299" t="str">
        <f>IF(ISERROR(LOOKUP(E166,WKNrListe,Übersicht!$R$7:$R$46)),"-",LOOKUP(E166,WKNrListe,Übersicht!$R$7:$R$46))</f>
        <v>-</v>
      </c>
      <c r="AL166" s="299" t="str">
        <f t="shared" si="24"/>
        <v>-</v>
      </c>
      <c r="AM166" s="303"/>
      <c r="AN166" s="174" t="str">
        <f t="shared" si="17"/>
        <v>Leer</v>
      </c>
    </row>
    <row r="167" spans="1:40" s="174" customFormat="1" ht="15" customHeight="1">
      <c r="A167" s="63"/>
      <c r="B167" s="63"/>
      <c r="C167" s="84"/>
      <c r="D167" s="85"/>
      <c r="E167" s="62"/>
      <c r="F167" s="62"/>
      <c r="G167" s="62"/>
      <c r="H167" s="62"/>
      <c r="I167" s="62"/>
      <c r="J167" s="62"/>
      <c r="K167" s="62"/>
      <c r="L167" s="62"/>
      <c r="M167" s="62"/>
      <c r="N167" s="62"/>
      <c r="O167" s="62"/>
      <c r="P167" s="62"/>
      <c r="Q167" s="62"/>
      <c r="R167" s="62"/>
      <c r="S167" s="258"/>
      <c r="T167" s="248" t="str">
        <f t="shared" si="22"/>
        <v/>
      </c>
      <c r="U167" s="249" t="str">
        <f t="shared" si="23"/>
        <v/>
      </c>
      <c r="V167" s="294" t="str">
        <f t="shared" si="19"/>
        <v/>
      </c>
      <c r="W167" s="294" t="str">
        <f>IF(((E167="")+(F167="")),"",IF(VLOOKUP(F167,Mannschaften!$A$1:$B$54,2,FALSE)&lt;&gt;E167,"Reiter Mannschaften füllen",""))</f>
        <v/>
      </c>
      <c r="X167" s="248" t="str">
        <f>IF(ISBLANK(C167),"",IF((U167&gt;(LOOKUP(E167,WKNrListe,Übersicht!$O$7:$O$46)))+(U167&lt;(LOOKUP(E167,WKNrListe,Übersicht!$P$7:$P$46))),"JG falsch",""))</f>
        <v/>
      </c>
      <c r="Y167" s="255" t="str">
        <f>IF((A167="")*(B167=""),"",IF(ISERROR(MATCH(E167,WKNrListe,0)),"WK falsch",LOOKUP(E167,WKNrListe,Übersicht!$B$7:$B$46)))</f>
        <v/>
      </c>
      <c r="Z167" s="269" t="str">
        <f>IF(((AJ167=0)*(AH167&lt;&gt;"")*(AK167="-"))+((AJ167&lt;&gt;0)*(AH167&lt;&gt;"")*(AK167="-")),IF(AG167="X",Übersicht!$C$70,Übersicht!$C$69),"-")</f>
        <v>-</v>
      </c>
      <c r="AA167" s="252" t="str">
        <f>IF((($A167="")*($B167=""))+((MID($Y167,1,4)&lt;&gt;"Wahl")*(Deckblatt!$C$14='WK-Vorlagen'!$C$82))+(Deckblatt!$C$14&lt;&gt;'WK-Vorlagen'!$C$82),"",IF(ISERROR(MATCH(VALUE(MID(G167,1,2)),Schwierigkeitsstufen!$G$7:$G$19,0)),"Gerät falsch",LOOKUP(VALUE(MID(G167,1,2)),Schwierigkeitsstufen!$G$7:$G$19,Schwierigkeitsstufen!$H$7:$H$19)))</f>
        <v/>
      </c>
      <c r="AB167" s="250" t="str">
        <f>IF((($A167="")*($B167=""))+((MID($Y167,1,4)&lt;&gt;"Wahl")*(Deckblatt!$C$14='WK-Vorlagen'!$C$82))+(Deckblatt!$C$14&lt;&gt;'WK-Vorlagen'!$C$82),"",IF(ISERROR(MATCH(VALUE(MID(H167,1,2)),Schwierigkeitsstufen!$G$7:$G$19,0)),"Gerät falsch",LOOKUP(VALUE(MID(H167,1,2)),Schwierigkeitsstufen!$G$7:$G$19,Schwierigkeitsstufen!$H$7:$H$19)))</f>
        <v/>
      </c>
      <c r="AC167" s="250" t="str">
        <f>IF((($A167="")*($B167=""))+((MID($Y167,1,4)&lt;&gt;"Wahl")*(Deckblatt!$C$14='WK-Vorlagen'!$C$82))+(Deckblatt!$C$14&lt;&gt;'WK-Vorlagen'!$C$82),"",IF(ISERROR(MATCH(VALUE(MID(I167,1,2)),Schwierigkeitsstufen!$G$7:$G$19,0)),"Gerät falsch",LOOKUP(VALUE(MID(I167,1,2)),Schwierigkeitsstufen!$G$7:$G$19,Schwierigkeitsstufen!$H$7:$H$19)))</f>
        <v/>
      </c>
      <c r="AD167" s="251" t="str">
        <f>IF((($A167="")*($B167=""))+((MID($Y167,1,4)&lt;&gt;"Wahl")*(Deckblatt!$C$14='WK-Vorlagen'!$C$82))+(Deckblatt!$C$14&lt;&gt;'WK-Vorlagen'!$C$82),"",IF(ISERROR(MATCH(VALUE(MID(J167,1,2)),Schwierigkeitsstufen!$G$7:$G$19,0)),"Gerät falsch",LOOKUP(VALUE(MID(J167,1,2)),Schwierigkeitsstufen!$G$7:$G$19,Schwierigkeitsstufen!$H$7:$H$19)))</f>
        <v/>
      </c>
      <c r="AE167" s="211"/>
      <c r="AG167" s="221" t="str">
        <f t="shared" si="18"/>
        <v/>
      </c>
      <c r="AH167" s="222" t="str">
        <f t="shared" si="20"/>
        <v/>
      </c>
      <c r="AI167" s="220">
        <f t="shared" si="25"/>
        <v>4</v>
      </c>
      <c r="AJ167" s="222">
        <f t="shared" si="21"/>
        <v>0</v>
      </c>
      <c r="AK167" s="299" t="str">
        <f>IF(ISERROR(LOOKUP(E167,WKNrListe,Übersicht!$R$7:$R$46)),"-",LOOKUP(E167,WKNrListe,Übersicht!$R$7:$R$46))</f>
        <v>-</v>
      </c>
      <c r="AL167" s="299" t="str">
        <f t="shared" si="24"/>
        <v>-</v>
      </c>
      <c r="AM167" s="303"/>
      <c r="AN167" s="174" t="str">
        <f t="shared" si="17"/>
        <v>Leer</v>
      </c>
    </row>
    <row r="168" spans="1:40" s="174" customFormat="1" ht="15" customHeight="1">
      <c r="A168" s="63"/>
      <c r="B168" s="63"/>
      <c r="C168" s="84"/>
      <c r="D168" s="85"/>
      <c r="E168" s="62"/>
      <c r="F168" s="62"/>
      <c r="G168" s="62"/>
      <c r="H168" s="62"/>
      <c r="I168" s="62"/>
      <c r="J168" s="62"/>
      <c r="K168" s="62"/>
      <c r="L168" s="62"/>
      <c r="M168" s="62"/>
      <c r="N168" s="62"/>
      <c r="O168" s="62"/>
      <c r="P168" s="62"/>
      <c r="Q168" s="62"/>
      <c r="R168" s="62"/>
      <c r="S168" s="258"/>
      <c r="T168" s="248" t="str">
        <f t="shared" si="22"/>
        <v/>
      </c>
      <c r="U168" s="249" t="str">
        <f t="shared" si="23"/>
        <v/>
      </c>
      <c r="V168" s="294" t="str">
        <f t="shared" si="19"/>
        <v/>
      </c>
      <c r="W168" s="294" t="str">
        <f>IF(((E168="")+(F168="")),"",IF(VLOOKUP(F168,Mannschaften!$A$1:$B$54,2,FALSE)&lt;&gt;E168,"Reiter Mannschaften füllen",""))</f>
        <v/>
      </c>
      <c r="X168" s="248" t="str">
        <f>IF(ISBLANK(C168),"",IF((U168&gt;(LOOKUP(E168,WKNrListe,Übersicht!$O$7:$O$46)))+(U168&lt;(LOOKUP(E168,WKNrListe,Übersicht!$P$7:$P$46))),"JG falsch",""))</f>
        <v/>
      </c>
      <c r="Y168" s="255" t="str">
        <f>IF((A168="")*(B168=""),"",IF(ISERROR(MATCH(E168,WKNrListe,0)),"WK falsch",LOOKUP(E168,WKNrListe,Übersicht!$B$7:$B$46)))</f>
        <v/>
      </c>
      <c r="Z168" s="269" t="str">
        <f>IF(((AJ168=0)*(AH168&lt;&gt;"")*(AK168="-"))+((AJ168&lt;&gt;0)*(AH168&lt;&gt;"")*(AK168="-")),IF(AG168="X",Übersicht!$C$70,Übersicht!$C$69),"-")</f>
        <v>-</v>
      </c>
      <c r="AA168" s="252" t="str">
        <f>IF((($A168="")*($B168=""))+((MID($Y168,1,4)&lt;&gt;"Wahl")*(Deckblatt!$C$14='WK-Vorlagen'!$C$82))+(Deckblatt!$C$14&lt;&gt;'WK-Vorlagen'!$C$82),"",IF(ISERROR(MATCH(VALUE(MID(G168,1,2)),Schwierigkeitsstufen!$G$7:$G$19,0)),"Gerät falsch",LOOKUP(VALUE(MID(G168,1,2)),Schwierigkeitsstufen!$G$7:$G$19,Schwierigkeitsstufen!$H$7:$H$19)))</f>
        <v/>
      </c>
      <c r="AB168" s="250" t="str">
        <f>IF((($A168="")*($B168=""))+((MID($Y168,1,4)&lt;&gt;"Wahl")*(Deckblatt!$C$14='WK-Vorlagen'!$C$82))+(Deckblatt!$C$14&lt;&gt;'WK-Vorlagen'!$C$82),"",IF(ISERROR(MATCH(VALUE(MID(H168,1,2)),Schwierigkeitsstufen!$G$7:$G$19,0)),"Gerät falsch",LOOKUP(VALUE(MID(H168,1,2)),Schwierigkeitsstufen!$G$7:$G$19,Schwierigkeitsstufen!$H$7:$H$19)))</f>
        <v/>
      </c>
      <c r="AC168" s="250" t="str">
        <f>IF((($A168="")*($B168=""))+((MID($Y168,1,4)&lt;&gt;"Wahl")*(Deckblatt!$C$14='WK-Vorlagen'!$C$82))+(Deckblatt!$C$14&lt;&gt;'WK-Vorlagen'!$C$82),"",IF(ISERROR(MATCH(VALUE(MID(I168,1,2)),Schwierigkeitsstufen!$G$7:$G$19,0)),"Gerät falsch",LOOKUP(VALUE(MID(I168,1,2)),Schwierigkeitsstufen!$G$7:$G$19,Schwierigkeitsstufen!$H$7:$H$19)))</f>
        <v/>
      </c>
      <c r="AD168" s="251" t="str">
        <f>IF((($A168="")*($B168=""))+((MID($Y168,1,4)&lt;&gt;"Wahl")*(Deckblatt!$C$14='WK-Vorlagen'!$C$82))+(Deckblatt!$C$14&lt;&gt;'WK-Vorlagen'!$C$82),"",IF(ISERROR(MATCH(VALUE(MID(J168,1,2)),Schwierigkeitsstufen!$G$7:$G$19,0)),"Gerät falsch",LOOKUP(VALUE(MID(J168,1,2)),Schwierigkeitsstufen!$G$7:$G$19,Schwierigkeitsstufen!$H$7:$H$19)))</f>
        <v/>
      </c>
      <c r="AE168" s="211"/>
      <c r="AG168" s="221" t="str">
        <f t="shared" si="18"/>
        <v/>
      </c>
      <c r="AH168" s="222" t="str">
        <f t="shared" si="20"/>
        <v/>
      </c>
      <c r="AI168" s="220">
        <f t="shared" si="25"/>
        <v>4</v>
      </c>
      <c r="AJ168" s="222">
        <f t="shared" si="21"/>
        <v>0</v>
      </c>
      <c r="AK168" s="299" t="str">
        <f>IF(ISERROR(LOOKUP(E168,WKNrListe,Übersicht!$R$7:$R$46)),"-",LOOKUP(E168,WKNrListe,Übersicht!$R$7:$R$46))</f>
        <v>-</v>
      </c>
      <c r="AL168" s="299" t="str">
        <f t="shared" si="24"/>
        <v>-</v>
      </c>
      <c r="AM168" s="303"/>
      <c r="AN168" s="174" t="str">
        <f t="shared" si="17"/>
        <v>Leer</v>
      </c>
    </row>
    <row r="169" spans="1:40" s="174" customFormat="1" ht="15" customHeight="1">
      <c r="A169" s="63"/>
      <c r="B169" s="63"/>
      <c r="C169" s="84"/>
      <c r="D169" s="85"/>
      <c r="E169" s="62"/>
      <c r="F169" s="62"/>
      <c r="G169" s="62"/>
      <c r="H169" s="62"/>
      <c r="I169" s="62"/>
      <c r="J169" s="62"/>
      <c r="K169" s="62"/>
      <c r="L169" s="62"/>
      <c r="M169" s="62"/>
      <c r="N169" s="62"/>
      <c r="O169" s="62"/>
      <c r="P169" s="62"/>
      <c r="Q169" s="62"/>
      <c r="R169" s="62"/>
      <c r="S169" s="258"/>
      <c r="T169" s="248" t="str">
        <f t="shared" si="22"/>
        <v/>
      </c>
      <c r="U169" s="249" t="str">
        <f t="shared" si="23"/>
        <v/>
      </c>
      <c r="V169" s="294" t="str">
        <f t="shared" si="19"/>
        <v/>
      </c>
      <c r="W169" s="294" t="str">
        <f>IF(((E169="")+(F169="")),"",IF(VLOOKUP(F169,Mannschaften!$A$1:$B$54,2,FALSE)&lt;&gt;E169,"Reiter Mannschaften füllen",""))</f>
        <v/>
      </c>
      <c r="X169" s="248" t="str">
        <f>IF(ISBLANK(C169),"",IF((U169&gt;(LOOKUP(E169,WKNrListe,Übersicht!$O$7:$O$46)))+(U169&lt;(LOOKUP(E169,WKNrListe,Übersicht!$P$7:$P$46))),"JG falsch",""))</f>
        <v/>
      </c>
      <c r="Y169" s="255" t="str">
        <f>IF((A169="")*(B169=""),"",IF(ISERROR(MATCH(E169,WKNrListe,0)),"WK falsch",LOOKUP(E169,WKNrListe,Übersicht!$B$7:$B$46)))</f>
        <v/>
      </c>
      <c r="Z169" s="269" t="str">
        <f>IF(((AJ169=0)*(AH169&lt;&gt;"")*(AK169="-"))+((AJ169&lt;&gt;0)*(AH169&lt;&gt;"")*(AK169="-")),IF(AG169="X",Übersicht!$C$70,Übersicht!$C$69),"-")</f>
        <v>-</v>
      </c>
      <c r="AA169" s="252" t="str">
        <f>IF((($A169="")*($B169=""))+((MID($Y169,1,4)&lt;&gt;"Wahl")*(Deckblatt!$C$14='WK-Vorlagen'!$C$82))+(Deckblatt!$C$14&lt;&gt;'WK-Vorlagen'!$C$82),"",IF(ISERROR(MATCH(VALUE(MID(G169,1,2)),Schwierigkeitsstufen!$G$7:$G$19,0)),"Gerät falsch",LOOKUP(VALUE(MID(G169,1,2)),Schwierigkeitsstufen!$G$7:$G$19,Schwierigkeitsstufen!$H$7:$H$19)))</f>
        <v/>
      </c>
      <c r="AB169" s="250" t="str">
        <f>IF((($A169="")*($B169=""))+((MID($Y169,1,4)&lt;&gt;"Wahl")*(Deckblatt!$C$14='WK-Vorlagen'!$C$82))+(Deckblatt!$C$14&lt;&gt;'WK-Vorlagen'!$C$82),"",IF(ISERROR(MATCH(VALUE(MID(H169,1,2)),Schwierigkeitsstufen!$G$7:$G$19,0)),"Gerät falsch",LOOKUP(VALUE(MID(H169,1,2)),Schwierigkeitsstufen!$G$7:$G$19,Schwierigkeitsstufen!$H$7:$H$19)))</f>
        <v/>
      </c>
      <c r="AC169" s="250" t="str">
        <f>IF((($A169="")*($B169=""))+((MID($Y169,1,4)&lt;&gt;"Wahl")*(Deckblatt!$C$14='WK-Vorlagen'!$C$82))+(Deckblatt!$C$14&lt;&gt;'WK-Vorlagen'!$C$82),"",IF(ISERROR(MATCH(VALUE(MID(I169,1,2)),Schwierigkeitsstufen!$G$7:$G$19,0)),"Gerät falsch",LOOKUP(VALUE(MID(I169,1,2)),Schwierigkeitsstufen!$G$7:$G$19,Schwierigkeitsstufen!$H$7:$H$19)))</f>
        <v/>
      </c>
      <c r="AD169" s="251" t="str">
        <f>IF((($A169="")*($B169=""))+((MID($Y169,1,4)&lt;&gt;"Wahl")*(Deckblatt!$C$14='WK-Vorlagen'!$C$82))+(Deckblatt!$C$14&lt;&gt;'WK-Vorlagen'!$C$82),"",IF(ISERROR(MATCH(VALUE(MID(J169,1,2)),Schwierigkeitsstufen!$G$7:$G$19,0)),"Gerät falsch",LOOKUP(VALUE(MID(J169,1,2)),Schwierigkeitsstufen!$G$7:$G$19,Schwierigkeitsstufen!$H$7:$H$19)))</f>
        <v/>
      </c>
      <c r="AE169" s="211"/>
      <c r="AG169" s="221" t="str">
        <f t="shared" si="18"/>
        <v/>
      </c>
      <c r="AH169" s="222" t="str">
        <f t="shared" si="20"/>
        <v/>
      </c>
      <c r="AI169" s="220">
        <f t="shared" si="25"/>
        <v>4</v>
      </c>
      <c r="AJ169" s="222">
        <f t="shared" si="21"/>
        <v>0</v>
      </c>
      <c r="AK169" s="299" t="str">
        <f>IF(ISERROR(LOOKUP(E169,WKNrListe,Übersicht!$R$7:$R$46)),"-",LOOKUP(E169,WKNrListe,Übersicht!$R$7:$R$46))</f>
        <v>-</v>
      </c>
      <c r="AL169" s="299" t="str">
        <f t="shared" si="24"/>
        <v>-</v>
      </c>
      <c r="AM169" s="303"/>
      <c r="AN169" s="174" t="str">
        <f t="shared" si="17"/>
        <v>Leer</v>
      </c>
    </row>
    <row r="170" spans="1:40" s="174" customFormat="1" ht="15" customHeight="1">
      <c r="A170" s="63"/>
      <c r="B170" s="63"/>
      <c r="C170" s="84"/>
      <c r="D170" s="85"/>
      <c r="E170" s="62"/>
      <c r="F170" s="62"/>
      <c r="G170" s="62"/>
      <c r="H170" s="62"/>
      <c r="I170" s="62"/>
      <c r="J170" s="62"/>
      <c r="K170" s="62"/>
      <c r="L170" s="62"/>
      <c r="M170" s="62"/>
      <c r="N170" s="62"/>
      <c r="O170" s="62"/>
      <c r="P170" s="62"/>
      <c r="Q170" s="62"/>
      <c r="R170" s="62"/>
      <c r="S170" s="258"/>
      <c r="T170" s="248" t="str">
        <f t="shared" si="22"/>
        <v/>
      </c>
      <c r="U170" s="249" t="str">
        <f t="shared" si="23"/>
        <v/>
      </c>
      <c r="V170" s="294" t="str">
        <f t="shared" si="19"/>
        <v/>
      </c>
      <c r="W170" s="294" t="str">
        <f>IF(((E170="")+(F170="")),"",IF(VLOOKUP(F170,Mannschaften!$A$1:$B$54,2,FALSE)&lt;&gt;E170,"Reiter Mannschaften füllen",""))</f>
        <v/>
      </c>
      <c r="X170" s="248" t="str">
        <f>IF(ISBLANK(C170),"",IF((U170&gt;(LOOKUP(E170,WKNrListe,Übersicht!$O$7:$O$46)))+(U170&lt;(LOOKUP(E170,WKNrListe,Übersicht!$P$7:$P$46))),"JG falsch",""))</f>
        <v/>
      </c>
      <c r="Y170" s="255" t="str">
        <f>IF((A170="")*(B170=""),"",IF(ISERROR(MATCH(E170,WKNrListe,0)),"WK falsch",LOOKUP(E170,WKNrListe,Übersicht!$B$7:$B$46)))</f>
        <v/>
      </c>
      <c r="Z170" s="269" t="str">
        <f>IF(((AJ170=0)*(AH170&lt;&gt;"")*(AK170="-"))+((AJ170&lt;&gt;0)*(AH170&lt;&gt;"")*(AK170="-")),IF(AG170="X",Übersicht!$C$70,Übersicht!$C$69),"-")</f>
        <v>-</v>
      </c>
      <c r="AA170" s="252" t="str">
        <f>IF((($A170="")*($B170=""))+((MID($Y170,1,4)&lt;&gt;"Wahl")*(Deckblatt!$C$14='WK-Vorlagen'!$C$82))+(Deckblatt!$C$14&lt;&gt;'WK-Vorlagen'!$C$82),"",IF(ISERROR(MATCH(VALUE(MID(G170,1,2)),Schwierigkeitsstufen!$G$7:$G$19,0)),"Gerät falsch",LOOKUP(VALUE(MID(G170,1,2)),Schwierigkeitsstufen!$G$7:$G$19,Schwierigkeitsstufen!$H$7:$H$19)))</f>
        <v/>
      </c>
      <c r="AB170" s="250" t="str">
        <f>IF((($A170="")*($B170=""))+((MID($Y170,1,4)&lt;&gt;"Wahl")*(Deckblatt!$C$14='WK-Vorlagen'!$C$82))+(Deckblatt!$C$14&lt;&gt;'WK-Vorlagen'!$C$82),"",IF(ISERROR(MATCH(VALUE(MID(H170,1,2)),Schwierigkeitsstufen!$G$7:$G$19,0)),"Gerät falsch",LOOKUP(VALUE(MID(H170,1,2)),Schwierigkeitsstufen!$G$7:$G$19,Schwierigkeitsstufen!$H$7:$H$19)))</f>
        <v/>
      </c>
      <c r="AC170" s="250" t="str">
        <f>IF((($A170="")*($B170=""))+((MID($Y170,1,4)&lt;&gt;"Wahl")*(Deckblatt!$C$14='WK-Vorlagen'!$C$82))+(Deckblatt!$C$14&lt;&gt;'WK-Vorlagen'!$C$82),"",IF(ISERROR(MATCH(VALUE(MID(I170,1,2)),Schwierigkeitsstufen!$G$7:$G$19,0)),"Gerät falsch",LOOKUP(VALUE(MID(I170,1,2)),Schwierigkeitsstufen!$G$7:$G$19,Schwierigkeitsstufen!$H$7:$H$19)))</f>
        <v/>
      </c>
      <c r="AD170" s="251" t="str">
        <f>IF((($A170="")*($B170=""))+((MID($Y170,1,4)&lt;&gt;"Wahl")*(Deckblatt!$C$14='WK-Vorlagen'!$C$82))+(Deckblatt!$C$14&lt;&gt;'WK-Vorlagen'!$C$82),"",IF(ISERROR(MATCH(VALUE(MID(J170,1,2)),Schwierigkeitsstufen!$G$7:$G$19,0)),"Gerät falsch",LOOKUP(VALUE(MID(J170,1,2)),Schwierigkeitsstufen!$G$7:$G$19,Schwierigkeitsstufen!$H$7:$H$19)))</f>
        <v/>
      </c>
      <c r="AE170" s="211"/>
      <c r="AG170" s="221" t="str">
        <f t="shared" si="18"/>
        <v/>
      </c>
      <c r="AH170" s="222" t="str">
        <f t="shared" si="20"/>
        <v/>
      </c>
      <c r="AI170" s="220">
        <f t="shared" si="25"/>
        <v>4</v>
      </c>
      <c r="AJ170" s="222">
        <f t="shared" si="21"/>
        <v>0</v>
      </c>
      <c r="AK170" s="299" t="str">
        <f>IF(ISERROR(LOOKUP(E170,WKNrListe,Übersicht!$R$7:$R$46)),"-",LOOKUP(E170,WKNrListe,Übersicht!$R$7:$R$46))</f>
        <v>-</v>
      </c>
      <c r="AL170" s="299" t="str">
        <f t="shared" si="24"/>
        <v>-</v>
      </c>
      <c r="AM170" s="303"/>
      <c r="AN170" s="174" t="str">
        <f t="shared" si="17"/>
        <v>Leer</v>
      </c>
    </row>
    <row r="171" spans="1:40" s="174" customFormat="1" ht="15" customHeight="1">
      <c r="A171" s="63"/>
      <c r="B171" s="63"/>
      <c r="C171" s="84"/>
      <c r="D171" s="85"/>
      <c r="E171" s="62"/>
      <c r="F171" s="62"/>
      <c r="G171" s="62"/>
      <c r="H171" s="62"/>
      <c r="I171" s="62"/>
      <c r="J171" s="62"/>
      <c r="K171" s="62"/>
      <c r="L171" s="62"/>
      <c r="M171" s="62"/>
      <c r="N171" s="62"/>
      <c r="O171" s="62"/>
      <c r="P171" s="62"/>
      <c r="Q171" s="62"/>
      <c r="R171" s="62"/>
      <c r="S171" s="258"/>
      <c r="T171" s="248" t="str">
        <f t="shared" si="22"/>
        <v/>
      </c>
      <c r="U171" s="249" t="str">
        <f t="shared" si="23"/>
        <v/>
      </c>
      <c r="V171" s="294" t="str">
        <f t="shared" si="19"/>
        <v/>
      </c>
      <c r="W171" s="294" t="str">
        <f>IF(((E171="")+(F171="")),"",IF(VLOOKUP(F171,Mannschaften!$A$1:$B$54,2,FALSE)&lt;&gt;E171,"Reiter Mannschaften füllen",""))</f>
        <v/>
      </c>
      <c r="X171" s="248" t="str">
        <f>IF(ISBLANK(C171),"",IF((U171&gt;(LOOKUP(E171,WKNrListe,Übersicht!$O$7:$O$46)))+(U171&lt;(LOOKUP(E171,WKNrListe,Übersicht!$P$7:$P$46))),"JG falsch",""))</f>
        <v/>
      </c>
      <c r="Y171" s="255" t="str">
        <f>IF((A171="")*(B171=""),"",IF(ISERROR(MATCH(E171,WKNrListe,0)),"WK falsch",LOOKUP(E171,WKNrListe,Übersicht!$B$7:$B$46)))</f>
        <v/>
      </c>
      <c r="Z171" s="269" t="str">
        <f>IF(((AJ171=0)*(AH171&lt;&gt;"")*(AK171="-"))+((AJ171&lt;&gt;0)*(AH171&lt;&gt;"")*(AK171="-")),IF(AG171="X",Übersicht!$C$70,Übersicht!$C$69),"-")</f>
        <v>-</v>
      </c>
      <c r="AA171" s="252" t="str">
        <f>IF((($A171="")*($B171=""))+((MID($Y171,1,4)&lt;&gt;"Wahl")*(Deckblatt!$C$14='WK-Vorlagen'!$C$82))+(Deckblatt!$C$14&lt;&gt;'WK-Vorlagen'!$C$82),"",IF(ISERROR(MATCH(VALUE(MID(G171,1,2)),Schwierigkeitsstufen!$G$7:$G$19,0)),"Gerät falsch",LOOKUP(VALUE(MID(G171,1,2)),Schwierigkeitsstufen!$G$7:$G$19,Schwierigkeitsstufen!$H$7:$H$19)))</f>
        <v/>
      </c>
      <c r="AB171" s="250" t="str">
        <f>IF((($A171="")*($B171=""))+((MID($Y171,1,4)&lt;&gt;"Wahl")*(Deckblatt!$C$14='WK-Vorlagen'!$C$82))+(Deckblatt!$C$14&lt;&gt;'WK-Vorlagen'!$C$82),"",IF(ISERROR(MATCH(VALUE(MID(H171,1,2)),Schwierigkeitsstufen!$G$7:$G$19,0)),"Gerät falsch",LOOKUP(VALUE(MID(H171,1,2)),Schwierigkeitsstufen!$G$7:$G$19,Schwierigkeitsstufen!$H$7:$H$19)))</f>
        <v/>
      </c>
      <c r="AC171" s="250" t="str">
        <f>IF((($A171="")*($B171=""))+((MID($Y171,1,4)&lt;&gt;"Wahl")*(Deckblatt!$C$14='WK-Vorlagen'!$C$82))+(Deckblatt!$C$14&lt;&gt;'WK-Vorlagen'!$C$82),"",IF(ISERROR(MATCH(VALUE(MID(I171,1,2)),Schwierigkeitsstufen!$G$7:$G$19,0)),"Gerät falsch",LOOKUP(VALUE(MID(I171,1,2)),Schwierigkeitsstufen!$G$7:$G$19,Schwierigkeitsstufen!$H$7:$H$19)))</f>
        <v/>
      </c>
      <c r="AD171" s="251" t="str">
        <f>IF((($A171="")*($B171=""))+((MID($Y171,1,4)&lt;&gt;"Wahl")*(Deckblatt!$C$14='WK-Vorlagen'!$C$82))+(Deckblatt!$C$14&lt;&gt;'WK-Vorlagen'!$C$82),"",IF(ISERROR(MATCH(VALUE(MID(J171,1,2)),Schwierigkeitsstufen!$G$7:$G$19,0)),"Gerät falsch",LOOKUP(VALUE(MID(J171,1,2)),Schwierigkeitsstufen!$G$7:$G$19,Schwierigkeitsstufen!$H$7:$H$19)))</f>
        <v/>
      </c>
      <c r="AE171" s="211"/>
      <c r="AG171" s="221" t="str">
        <f t="shared" si="18"/>
        <v/>
      </c>
      <c r="AH171" s="222" t="str">
        <f t="shared" si="20"/>
        <v/>
      </c>
      <c r="AI171" s="220">
        <f t="shared" si="25"/>
        <v>4</v>
      </c>
      <c r="AJ171" s="222">
        <f t="shared" si="21"/>
        <v>0</v>
      </c>
      <c r="AK171" s="299" t="str">
        <f>IF(ISERROR(LOOKUP(E171,WKNrListe,Übersicht!$R$7:$R$46)),"-",LOOKUP(E171,WKNrListe,Übersicht!$R$7:$R$46))</f>
        <v>-</v>
      </c>
      <c r="AL171" s="299" t="str">
        <f t="shared" si="24"/>
        <v>-</v>
      </c>
      <c r="AM171" s="303"/>
      <c r="AN171" s="174" t="str">
        <f t="shared" si="17"/>
        <v>Leer</v>
      </c>
    </row>
    <row r="172" spans="1:40" s="174" customFormat="1" ht="15" customHeight="1">
      <c r="A172" s="63"/>
      <c r="B172" s="63"/>
      <c r="C172" s="84"/>
      <c r="D172" s="85"/>
      <c r="E172" s="62"/>
      <c r="F172" s="62"/>
      <c r="G172" s="62"/>
      <c r="H172" s="62"/>
      <c r="I172" s="62"/>
      <c r="J172" s="62"/>
      <c r="K172" s="62"/>
      <c r="L172" s="62"/>
      <c r="M172" s="62"/>
      <c r="N172" s="62"/>
      <c r="O172" s="62"/>
      <c r="P172" s="62"/>
      <c r="Q172" s="62"/>
      <c r="R172" s="62"/>
      <c r="S172" s="258"/>
      <c r="T172" s="248" t="str">
        <f t="shared" si="22"/>
        <v/>
      </c>
      <c r="U172" s="249" t="str">
        <f t="shared" si="23"/>
        <v/>
      </c>
      <c r="V172" s="294" t="str">
        <f t="shared" si="19"/>
        <v/>
      </c>
      <c r="W172" s="294" t="str">
        <f>IF(((E172="")+(F172="")),"",IF(VLOOKUP(F172,Mannschaften!$A$1:$B$54,2,FALSE)&lt;&gt;E172,"Reiter Mannschaften füllen",""))</f>
        <v/>
      </c>
      <c r="X172" s="248" t="str">
        <f>IF(ISBLANK(C172),"",IF((U172&gt;(LOOKUP(E172,WKNrListe,Übersicht!$O$7:$O$46)))+(U172&lt;(LOOKUP(E172,WKNrListe,Übersicht!$P$7:$P$46))),"JG falsch",""))</f>
        <v/>
      </c>
      <c r="Y172" s="255" t="str">
        <f>IF((A172="")*(B172=""),"",IF(ISERROR(MATCH(E172,WKNrListe,0)),"WK falsch",LOOKUP(E172,WKNrListe,Übersicht!$B$7:$B$46)))</f>
        <v/>
      </c>
      <c r="Z172" s="269" t="str">
        <f>IF(((AJ172=0)*(AH172&lt;&gt;"")*(AK172="-"))+((AJ172&lt;&gt;0)*(AH172&lt;&gt;"")*(AK172="-")),IF(AG172="X",Übersicht!$C$70,Übersicht!$C$69),"-")</f>
        <v>-</v>
      </c>
      <c r="AA172" s="252" t="str">
        <f>IF((($A172="")*($B172=""))+((MID($Y172,1,4)&lt;&gt;"Wahl")*(Deckblatt!$C$14='WK-Vorlagen'!$C$82))+(Deckblatt!$C$14&lt;&gt;'WK-Vorlagen'!$C$82),"",IF(ISERROR(MATCH(VALUE(MID(G172,1,2)),Schwierigkeitsstufen!$G$7:$G$19,0)),"Gerät falsch",LOOKUP(VALUE(MID(G172,1,2)),Schwierigkeitsstufen!$G$7:$G$19,Schwierigkeitsstufen!$H$7:$H$19)))</f>
        <v/>
      </c>
      <c r="AB172" s="250" t="str">
        <f>IF((($A172="")*($B172=""))+((MID($Y172,1,4)&lt;&gt;"Wahl")*(Deckblatt!$C$14='WK-Vorlagen'!$C$82))+(Deckblatt!$C$14&lt;&gt;'WK-Vorlagen'!$C$82),"",IF(ISERROR(MATCH(VALUE(MID(H172,1,2)),Schwierigkeitsstufen!$G$7:$G$19,0)),"Gerät falsch",LOOKUP(VALUE(MID(H172,1,2)),Schwierigkeitsstufen!$G$7:$G$19,Schwierigkeitsstufen!$H$7:$H$19)))</f>
        <v/>
      </c>
      <c r="AC172" s="250" t="str">
        <f>IF((($A172="")*($B172=""))+((MID($Y172,1,4)&lt;&gt;"Wahl")*(Deckblatt!$C$14='WK-Vorlagen'!$C$82))+(Deckblatt!$C$14&lt;&gt;'WK-Vorlagen'!$C$82),"",IF(ISERROR(MATCH(VALUE(MID(I172,1,2)),Schwierigkeitsstufen!$G$7:$G$19,0)),"Gerät falsch",LOOKUP(VALUE(MID(I172,1,2)),Schwierigkeitsstufen!$G$7:$G$19,Schwierigkeitsstufen!$H$7:$H$19)))</f>
        <v/>
      </c>
      <c r="AD172" s="251" t="str">
        <f>IF((($A172="")*($B172=""))+((MID($Y172,1,4)&lt;&gt;"Wahl")*(Deckblatt!$C$14='WK-Vorlagen'!$C$82))+(Deckblatt!$C$14&lt;&gt;'WK-Vorlagen'!$C$82),"",IF(ISERROR(MATCH(VALUE(MID(J172,1,2)),Schwierigkeitsstufen!$G$7:$G$19,0)),"Gerät falsch",LOOKUP(VALUE(MID(J172,1,2)),Schwierigkeitsstufen!$G$7:$G$19,Schwierigkeitsstufen!$H$7:$H$19)))</f>
        <v/>
      </c>
      <c r="AE172" s="211"/>
      <c r="AG172" s="221" t="str">
        <f t="shared" si="18"/>
        <v/>
      </c>
      <c r="AH172" s="222" t="str">
        <f t="shared" si="20"/>
        <v/>
      </c>
      <c r="AI172" s="220">
        <f t="shared" si="25"/>
        <v>4</v>
      </c>
      <c r="AJ172" s="222">
        <f t="shared" si="21"/>
        <v>0</v>
      </c>
      <c r="AK172" s="299" t="str">
        <f>IF(ISERROR(LOOKUP(E172,WKNrListe,Übersicht!$R$7:$R$46)),"-",LOOKUP(E172,WKNrListe,Übersicht!$R$7:$R$46))</f>
        <v>-</v>
      </c>
      <c r="AL172" s="299" t="str">
        <f t="shared" si="24"/>
        <v>-</v>
      </c>
      <c r="AM172" s="303"/>
      <c r="AN172" s="174" t="str">
        <f t="shared" si="17"/>
        <v>Leer</v>
      </c>
    </row>
    <row r="173" spans="1:40" s="174" customFormat="1" ht="15" customHeight="1">
      <c r="A173" s="63"/>
      <c r="B173" s="63"/>
      <c r="C173" s="84"/>
      <c r="D173" s="85"/>
      <c r="E173" s="62"/>
      <c r="F173" s="62"/>
      <c r="G173" s="62"/>
      <c r="H173" s="62"/>
      <c r="I173" s="62"/>
      <c r="J173" s="62"/>
      <c r="K173" s="62"/>
      <c r="L173" s="62"/>
      <c r="M173" s="62"/>
      <c r="N173" s="62"/>
      <c r="O173" s="62"/>
      <c r="P173" s="62"/>
      <c r="Q173" s="62"/>
      <c r="R173" s="62"/>
      <c r="S173" s="258"/>
      <c r="T173" s="248" t="str">
        <f t="shared" si="22"/>
        <v/>
      </c>
      <c r="U173" s="249" t="str">
        <f t="shared" si="23"/>
        <v/>
      </c>
      <c r="V173" s="294" t="str">
        <f t="shared" si="19"/>
        <v/>
      </c>
      <c r="W173" s="294" t="str">
        <f>IF(((E173="")+(F173="")),"",IF(VLOOKUP(F173,Mannschaften!$A$1:$B$54,2,FALSE)&lt;&gt;E173,"Reiter Mannschaften füllen",""))</f>
        <v/>
      </c>
      <c r="X173" s="248" t="str">
        <f>IF(ISBLANK(C173),"",IF((U173&gt;(LOOKUP(E173,WKNrListe,Übersicht!$O$7:$O$46)))+(U173&lt;(LOOKUP(E173,WKNrListe,Übersicht!$P$7:$P$46))),"JG falsch",""))</f>
        <v/>
      </c>
      <c r="Y173" s="255" t="str">
        <f>IF((A173="")*(B173=""),"",IF(ISERROR(MATCH(E173,WKNrListe,0)),"WK falsch",LOOKUP(E173,WKNrListe,Übersicht!$B$7:$B$46)))</f>
        <v/>
      </c>
      <c r="Z173" s="269" t="str">
        <f>IF(((AJ173=0)*(AH173&lt;&gt;"")*(AK173="-"))+((AJ173&lt;&gt;0)*(AH173&lt;&gt;"")*(AK173="-")),IF(AG173="X",Übersicht!$C$70,Übersicht!$C$69),"-")</f>
        <v>-</v>
      </c>
      <c r="AA173" s="252" t="str">
        <f>IF((($A173="")*($B173=""))+((MID($Y173,1,4)&lt;&gt;"Wahl")*(Deckblatt!$C$14='WK-Vorlagen'!$C$82))+(Deckblatt!$C$14&lt;&gt;'WK-Vorlagen'!$C$82),"",IF(ISERROR(MATCH(VALUE(MID(G173,1,2)),Schwierigkeitsstufen!$G$7:$G$19,0)),"Gerät falsch",LOOKUP(VALUE(MID(G173,1,2)),Schwierigkeitsstufen!$G$7:$G$19,Schwierigkeitsstufen!$H$7:$H$19)))</f>
        <v/>
      </c>
      <c r="AB173" s="250" t="str">
        <f>IF((($A173="")*($B173=""))+((MID($Y173,1,4)&lt;&gt;"Wahl")*(Deckblatt!$C$14='WK-Vorlagen'!$C$82))+(Deckblatt!$C$14&lt;&gt;'WK-Vorlagen'!$C$82),"",IF(ISERROR(MATCH(VALUE(MID(H173,1,2)),Schwierigkeitsstufen!$G$7:$G$19,0)),"Gerät falsch",LOOKUP(VALUE(MID(H173,1,2)),Schwierigkeitsstufen!$G$7:$G$19,Schwierigkeitsstufen!$H$7:$H$19)))</f>
        <v/>
      </c>
      <c r="AC173" s="250" t="str">
        <f>IF((($A173="")*($B173=""))+((MID($Y173,1,4)&lt;&gt;"Wahl")*(Deckblatt!$C$14='WK-Vorlagen'!$C$82))+(Deckblatt!$C$14&lt;&gt;'WK-Vorlagen'!$C$82),"",IF(ISERROR(MATCH(VALUE(MID(I173,1,2)),Schwierigkeitsstufen!$G$7:$G$19,0)),"Gerät falsch",LOOKUP(VALUE(MID(I173,1,2)),Schwierigkeitsstufen!$G$7:$G$19,Schwierigkeitsstufen!$H$7:$H$19)))</f>
        <v/>
      </c>
      <c r="AD173" s="251" t="str">
        <f>IF((($A173="")*($B173=""))+((MID($Y173,1,4)&lt;&gt;"Wahl")*(Deckblatt!$C$14='WK-Vorlagen'!$C$82))+(Deckblatt!$C$14&lt;&gt;'WK-Vorlagen'!$C$82),"",IF(ISERROR(MATCH(VALUE(MID(J173,1,2)),Schwierigkeitsstufen!$G$7:$G$19,0)),"Gerät falsch",LOOKUP(VALUE(MID(J173,1,2)),Schwierigkeitsstufen!$G$7:$G$19,Schwierigkeitsstufen!$H$7:$H$19)))</f>
        <v/>
      </c>
      <c r="AE173" s="211"/>
      <c r="AG173" s="221" t="str">
        <f t="shared" si="18"/>
        <v/>
      </c>
      <c r="AH173" s="222" t="str">
        <f t="shared" si="20"/>
        <v/>
      </c>
      <c r="AI173" s="220">
        <f t="shared" si="25"/>
        <v>4</v>
      </c>
      <c r="AJ173" s="222">
        <f t="shared" si="21"/>
        <v>0</v>
      </c>
      <c r="AK173" s="299" t="str">
        <f>IF(ISERROR(LOOKUP(E173,WKNrListe,Übersicht!$R$7:$R$46)),"-",LOOKUP(E173,WKNrListe,Übersicht!$R$7:$R$46))</f>
        <v>-</v>
      </c>
      <c r="AL173" s="299" t="str">
        <f t="shared" si="24"/>
        <v>-</v>
      </c>
      <c r="AM173" s="303"/>
      <c r="AN173" s="174" t="str">
        <f t="shared" si="17"/>
        <v>Leer</v>
      </c>
    </row>
    <row r="174" spans="1:40" s="174" customFormat="1" ht="15" customHeight="1">
      <c r="A174" s="63"/>
      <c r="B174" s="63"/>
      <c r="C174" s="84"/>
      <c r="D174" s="85"/>
      <c r="E174" s="62"/>
      <c r="F174" s="62"/>
      <c r="G174" s="62"/>
      <c r="H174" s="62"/>
      <c r="I174" s="62"/>
      <c r="J174" s="62"/>
      <c r="K174" s="62"/>
      <c r="L174" s="62"/>
      <c r="M174" s="62"/>
      <c r="N174" s="62"/>
      <c r="O174" s="62"/>
      <c r="P174" s="62"/>
      <c r="Q174" s="62"/>
      <c r="R174" s="62"/>
      <c r="S174" s="258"/>
      <c r="T174" s="248" t="str">
        <f t="shared" si="22"/>
        <v/>
      </c>
      <c r="U174" s="249" t="str">
        <f t="shared" si="23"/>
        <v/>
      </c>
      <c r="V174" s="294" t="str">
        <f t="shared" si="19"/>
        <v/>
      </c>
      <c r="W174" s="294" t="str">
        <f>IF(((E174="")+(F174="")),"",IF(VLOOKUP(F174,Mannschaften!$A$1:$B$54,2,FALSE)&lt;&gt;E174,"Reiter Mannschaften füllen",""))</f>
        <v/>
      </c>
      <c r="X174" s="248" t="str">
        <f>IF(ISBLANK(C174),"",IF((U174&gt;(LOOKUP(E174,WKNrListe,Übersicht!$O$7:$O$46)))+(U174&lt;(LOOKUP(E174,WKNrListe,Übersicht!$P$7:$P$46))),"JG falsch",""))</f>
        <v/>
      </c>
      <c r="Y174" s="255" t="str">
        <f>IF((A174="")*(B174=""),"",IF(ISERROR(MATCH(E174,WKNrListe,0)),"WK falsch",LOOKUP(E174,WKNrListe,Übersicht!$B$7:$B$46)))</f>
        <v/>
      </c>
      <c r="Z174" s="269" t="str">
        <f>IF(((AJ174=0)*(AH174&lt;&gt;"")*(AK174="-"))+((AJ174&lt;&gt;0)*(AH174&lt;&gt;"")*(AK174="-")),IF(AG174="X",Übersicht!$C$70,Übersicht!$C$69),"-")</f>
        <v>-</v>
      </c>
      <c r="AA174" s="252" t="str">
        <f>IF((($A174="")*($B174=""))+((MID($Y174,1,4)&lt;&gt;"Wahl")*(Deckblatt!$C$14='WK-Vorlagen'!$C$82))+(Deckblatt!$C$14&lt;&gt;'WK-Vorlagen'!$C$82),"",IF(ISERROR(MATCH(VALUE(MID(G174,1,2)),Schwierigkeitsstufen!$G$7:$G$19,0)),"Gerät falsch",LOOKUP(VALUE(MID(G174,1,2)),Schwierigkeitsstufen!$G$7:$G$19,Schwierigkeitsstufen!$H$7:$H$19)))</f>
        <v/>
      </c>
      <c r="AB174" s="250" t="str">
        <f>IF((($A174="")*($B174=""))+((MID($Y174,1,4)&lt;&gt;"Wahl")*(Deckblatt!$C$14='WK-Vorlagen'!$C$82))+(Deckblatt!$C$14&lt;&gt;'WK-Vorlagen'!$C$82),"",IF(ISERROR(MATCH(VALUE(MID(H174,1,2)),Schwierigkeitsstufen!$G$7:$G$19,0)),"Gerät falsch",LOOKUP(VALUE(MID(H174,1,2)),Schwierigkeitsstufen!$G$7:$G$19,Schwierigkeitsstufen!$H$7:$H$19)))</f>
        <v/>
      </c>
      <c r="AC174" s="250" t="str">
        <f>IF((($A174="")*($B174=""))+((MID($Y174,1,4)&lt;&gt;"Wahl")*(Deckblatt!$C$14='WK-Vorlagen'!$C$82))+(Deckblatt!$C$14&lt;&gt;'WK-Vorlagen'!$C$82),"",IF(ISERROR(MATCH(VALUE(MID(I174,1,2)),Schwierigkeitsstufen!$G$7:$G$19,0)),"Gerät falsch",LOOKUP(VALUE(MID(I174,1,2)),Schwierigkeitsstufen!$G$7:$G$19,Schwierigkeitsstufen!$H$7:$H$19)))</f>
        <v/>
      </c>
      <c r="AD174" s="251" t="str">
        <f>IF((($A174="")*($B174=""))+((MID($Y174,1,4)&lt;&gt;"Wahl")*(Deckblatt!$C$14='WK-Vorlagen'!$C$82))+(Deckblatt!$C$14&lt;&gt;'WK-Vorlagen'!$C$82),"",IF(ISERROR(MATCH(VALUE(MID(J174,1,2)),Schwierigkeitsstufen!$G$7:$G$19,0)),"Gerät falsch",LOOKUP(VALUE(MID(J174,1,2)),Schwierigkeitsstufen!$G$7:$G$19,Schwierigkeitsstufen!$H$7:$H$19)))</f>
        <v/>
      </c>
      <c r="AE174" s="211"/>
      <c r="AG174" s="221" t="str">
        <f t="shared" si="18"/>
        <v/>
      </c>
      <c r="AH174" s="222" t="str">
        <f t="shared" si="20"/>
        <v/>
      </c>
      <c r="AI174" s="220">
        <f t="shared" si="25"/>
        <v>4</v>
      </c>
      <c r="AJ174" s="222">
        <f t="shared" si="21"/>
        <v>0</v>
      </c>
      <c r="AK174" s="299" t="str">
        <f>IF(ISERROR(LOOKUP(E174,WKNrListe,Übersicht!$R$7:$R$46)),"-",LOOKUP(E174,WKNrListe,Übersicht!$R$7:$R$46))</f>
        <v>-</v>
      </c>
      <c r="AL174" s="299" t="str">
        <f t="shared" si="24"/>
        <v>-</v>
      </c>
      <c r="AM174" s="303"/>
      <c r="AN174" s="174" t="str">
        <f t="shared" si="17"/>
        <v>Leer</v>
      </c>
    </row>
    <row r="175" spans="1:40" s="174" customFormat="1" ht="15" customHeight="1">
      <c r="A175" s="63"/>
      <c r="B175" s="63"/>
      <c r="C175" s="84"/>
      <c r="D175" s="85"/>
      <c r="E175" s="62"/>
      <c r="F175" s="62"/>
      <c r="G175" s="62"/>
      <c r="H175" s="62"/>
      <c r="I175" s="62"/>
      <c r="J175" s="62"/>
      <c r="K175" s="62"/>
      <c r="L175" s="62"/>
      <c r="M175" s="62"/>
      <c r="N175" s="62"/>
      <c r="O175" s="62"/>
      <c r="P175" s="62"/>
      <c r="Q175" s="62"/>
      <c r="R175" s="62"/>
      <c r="S175" s="258"/>
      <c r="T175" s="248" t="str">
        <f t="shared" si="22"/>
        <v/>
      </c>
      <c r="U175" s="249" t="str">
        <f t="shared" si="23"/>
        <v/>
      </c>
      <c r="V175" s="294" t="str">
        <f t="shared" si="19"/>
        <v/>
      </c>
      <c r="W175" s="294" t="str">
        <f>IF(((E175="")+(F175="")),"",IF(VLOOKUP(F175,Mannschaften!$A$1:$B$54,2,FALSE)&lt;&gt;E175,"Reiter Mannschaften füllen",""))</f>
        <v/>
      </c>
      <c r="X175" s="248" t="str">
        <f>IF(ISBLANK(C175),"",IF((U175&gt;(LOOKUP(E175,WKNrListe,Übersicht!$O$7:$O$46)))+(U175&lt;(LOOKUP(E175,WKNrListe,Übersicht!$P$7:$P$46))),"JG falsch",""))</f>
        <v/>
      </c>
      <c r="Y175" s="255" t="str">
        <f>IF((A175="")*(B175=""),"",IF(ISERROR(MATCH(E175,WKNrListe,0)),"WK falsch",LOOKUP(E175,WKNrListe,Übersicht!$B$7:$B$46)))</f>
        <v/>
      </c>
      <c r="Z175" s="269" t="str">
        <f>IF(((AJ175=0)*(AH175&lt;&gt;"")*(AK175="-"))+((AJ175&lt;&gt;0)*(AH175&lt;&gt;"")*(AK175="-")),IF(AG175="X",Übersicht!$C$70,Übersicht!$C$69),"-")</f>
        <v>-</v>
      </c>
      <c r="AA175" s="252" t="str">
        <f>IF((($A175="")*($B175=""))+((MID($Y175,1,4)&lt;&gt;"Wahl")*(Deckblatt!$C$14='WK-Vorlagen'!$C$82))+(Deckblatt!$C$14&lt;&gt;'WK-Vorlagen'!$C$82),"",IF(ISERROR(MATCH(VALUE(MID(G175,1,2)),Schwierigkeitsstufen!$G$7:$G$19,0)),"Gerät falsch",LOOKUP(VALUE(MID(G175,1,2)),Schwierigkeitsstufen!$G$7:$G$19,Schwierigkeitsstufen!$H$7:$H$19)))</f>
        <v/>
      </c>
      <c r="AB175" s="250" t="str">
        <f>IF((($A175="")*($B175=""))+((MID($Y175,1,4)&lt;&gt;"Wahl")*(Deckblatt!$C$14='WK-Vorlagen'!$C$82))+(Deckblatt!$C$14&lt;&gt;'WK-Vorlagen'!$C$82),"",IF(ISERROR(MATCH(VALUE(MID(H175,1,2)),Schwierigkeitsstufen!$G$7:$G$19,0)),"Gerät falsch",LOOKUP(VALUE(MID(H175,1,2)),Schwierigkeitsstufen!$G$7:$G$19,Schwierigkeitsstufen!$H$7:$H$19)))</f>
        <v/>
      </c>
      <c r="AC175" s="250" t="str">
        <f>IF((($A175="")*($B175=""))+((MID($Y175,1,4)&lt;&gt;"Wahl")*(Deckblatt!$C$14='WK-Vorlagen'!$C$82))+(Deckblatt!$C$14&lt;&gt;'WK-Vorlagen'!$C$82),"",IF(ISERROR(MATCH(VALUE(MID(I175,1,2)),Schwierigkeitsstufen!$G$7:$G$19,0)),"Gerät falsch",LOOKUP(VALUE(MID(I175,1,2)),Schwierigkeitsstufen!$G$7:$G$19,Schwierigkeitsstufen!$H$7:$H$19)))</f>
        <v/>
      </c>
      <c r="AD175" s="251" t="str">
        <f>IF((($A175="")*($B175=""))+((MID($Y175,1,4)&lt;&gt;"Wahl")*(Deckblatt!$C$14='WK-Vorlagen'!$C$82))+(Deckblatt!$C$14&lt;&gt;'WK-Vorlagen'!$C$82),"",IF(ISERROR(MATCH(VALUE(MID(J175,1,2)),Schwierigkeitsstufen!$G$7:$G$19,0)),"Gerät falsch",LOOKUP(VALUE(MID(J175,1,2)),Schwierigkeitsstufen!$G$7:$G$19,Schwierigkeitsstufen!$H$7:$H$19)))</f>
        <v/>
      </c>
      <c r="AE175" s="211"/>
      <c r="AG175" s="221" t="str">
        <f t="shared" si="18"/>
        <v/>
      </c>
      <c r="AH175" s="222" t="str">
        <f t="shared" si="20"/>
        <v/>
      </c>
      <c r="AI175" s="220">
        <f t="shared" si="25"/>
        <v>4</v>
      </c>
      <c r="AJ175" s="222">
        <f t="shared" si="21"/>
        <v>0</v>
      </c>
      <c r="AK175" s="299" t="str">
        <f>IF(ISERROR(LOOKUP(E175,WKNrListe,Übersicht!$R$7:$R$46)),"-",LOOKUP(E175,WKNrListe,Übersicht!$R$7:$R$46))</f>
        <v>-</v>
      </c>
      <c r="AL175" s="299" t="str">
        <f t="shared" si="24"/>
        <v>-</v>
      </c>
      <c r="AM175" s="303"/>
      <c r="AN175" s="174" t="str">
        <f t="shared" ref="AN175:AN238" si="26">IF(ISBLANK(A175)*ISBLANK(B175)*ISBLANK(C175)*ISBLANK(E175)*ISBLANK(F175)*ISBLANK(G175)*ISBLANK(H175)*ISBLANK(I175)*ISBLANK(J175),"Leer","Voll")</f>
        <v>Leer</v>
      </c>
    </row>
    <row r="176" spans="1:40" s="174" customFormat="1" ht="15" customHeight="1">
      <c r="A176" s="63"/>
      <c r="B176" s="63"/>
      <c r="C176" s="84"/>
      <c r="D176" s="85"/>
      <c r="E176" s="62"/>
      <c r="F176" s="62"/>
      <c r="G176" s="62"/>
      <c r="H176" s="62"/>
      <c r="I176" s="62"/>
      <c r="J176" s="62"/>
      <c r="K176" s="62"/>
      <c r="L176" s="62"/>
      <c r="M176" s="62"/>
      <c r="N176" s="62"/>
      <c r="O176" s="62"/>
      <c r="P176" s="62"/>
      <c r="Q176" s="62"/>
      <c r="R176" s="62"/>
      <c r="S176" s="258"/>
      <c r="T176" s="248" t="str">
        <f t="shared" si="22"/>
        <v/>
      </c>
      <c r="U176" s="249" t="str">
        <f t="shared" si="23"/>
        <v/>
      </c>
      <c r="V176" s="294" t="str">
        <f t="shared" si="19"/>
        <v/>
      </c>
      <c r="W176" s="294" t="str">
        <f>IF(((E176="")+(F176="")),"",IF(VLOOKUP(F176,Mannschaften!$A$1:$B$54,2,FALSE)&lt;&gt;E176,"Reiter Mannschaften füllen",""))</f>
        <v/>
      </c>
      <c r="X176" s="248" t="str">
        <f>IF(ISBLANK(C176),"",IF((U176&gt;(LOOKUP(E176,WKNrListe,Übersicht!$O$7:$O$46)))+(U176&lt;(LOOKUP(E176,WKNrListe,Übersicht!$P$7:$P$46))),"JG falsch",""))</f>
        <v/>
      </c>
      <c r="Y176" s="255" t="str">
        <f>IF((A176="")*(B176=""),"",IF(ISERROR(MATCH(E176,WKNrListe,0)),"WK falsch",LOOKUP(E176,WKNrListe,Übersicht!$B$7:$B$46)))</f>
        <v/>
      </c>
      <c r="Z176" s="269" t="str">
        <f>IF(((AJ176=0)*(AH176&lt;&gt;"")*(AK176="-"))+((AJ176&lt;&gt;0)*(AH176&lt;&gt;"")*(AK176="-")),IF(AG176="X",Übersicht!$C$70,Übersicht!$C$69),"-")</f>
        <v>-</v>
      </c>
      <c r="AA176" s="252" t="str">
        <f>IF((($A176="")*($B176=""))+((MID($Y176,1,4)&lt;&gt;"Wahl")*(Deckblatt!$C$14='WK-Vorlagen'!$C$82))+(Deckblatt!$C$14&lt;&gt;'WK-Vorlagen'!$C$82),"",IF(ISERROR(MATCH(VALUE(MID(G176,1,2)),Schwierigkeitsstufen!$G$7:$G$19,0)),"Gerät falsch",LOOKUP(VALUE(MID(G176,1,2)),Schwierigkeitsstufen!$G$7:$G$19,Schwierigkeitsstufen!$H$7:$H$19)))</f>
        <v/>
      </c>
      <c r="AB176" s="250" t="str">
        <f>IF((($A176="")*($B176=""))+((MID($Y176,1,4)&lt;&gt;"Wahl")*(Deckblatt!$C$14='WK-Vorlagen'!$C$82))+(Deckblatt!$C$14&lt;&gt;'WK-Vorlagen'!$C$82),"",IF(ISERROR(MATCH(VALUE(MID(H176,1,2)),Schwierigkeitsstufen!$G$7:$G$19,0)),"Gerät falsch",LOOKUP(VALUE(MID(H176,1,2)),Schwierigkeitsstufen!$G$7:$G$19,Schwierigkeitsstufen!$H$7:$H$19)))</f>
        <v/>
      </c>
      <c r="AC176" s="250" t="str">
        <f>IF((($A176="")*($B176=""))+((MID($Y176,1,4)&lt;&gt;"Wahl")*(Deckblatt!$C$14='WK-Vorlagen'!$C$82))+(Deckblatt!$C$14&lt;&gt;'WK-Vorlagen'!$C$82),"",IF(ISERROR(MATCH(VALUE(MID(I176,1,2)),Schwierigkeitsstufen!$G$7:$G$19,0)),"Gerät falsch",LOOKUP(VALUE(MID(I176,1,2)),Schwierigkeitsstufen!$G$7:$G$19,Schwierigkeitsstufen!$H$7:$H$19)))</f>
        <v/>
      </c>
      <c r="AD176" s="251" t="str">
        <f>IF((($A176="")*($B176=""))+((MID($Y176,1,4)&lt;&gt;"Wahl")*(Deckblatt!$C$14='WK-Vorlagen'!$C$82))+(Deckblatt!$C$14&lt;&gt;'WK-Vorlagen'!$C$82),"",IF(ISERROR(MATCH(VALUE(MID(J176,1,2)),Schwierigkeitsstufen!$G$7:$G$19,0)),"Gerät falsch",LOOKUP(VALUE(MID(J176,1,2)),Schwierigkeitsstufen!$G$7:$G$19,Schwierigkeitsstufen!$H$7:$H$19)))</f>
        <v/>
      </c>
      <c r="AE176" s="211"/>
      <c r="AG176" s="221" t="str">
        <f t="shared" si="18"/>
        <v/>
      </c>
      <c r="AH176" s="222" t="str">
        <f t="shared" si="20"/>
        <v/>
      </c>
      <c r="AI176" s="220">
        <f t="shared" si="25"/>
        <v>4</v>
      </c>
      <c r="AJ176" s="222">
        <f t="shared" si="21"/>
        <v>0</v>
      </c>
      <c r="AK176" s="299" t="str">
        <f>IF(ISERROR(LOOKUP(E176,WKNrListe,Übersicht!$R$7:$R$46)),"-",LOOKUP(E176,WKNrListe,Übersicht!$R$7:$R$46))</f>
        <v>-</v>
      </c>
      <c r="AL176" s="299" t="str">
        <f t="shared" si="24"/>
        <v>-</v>
      </c>
      <c r="AM176" s="303"/>
      <c r="AN176" s="174" t="str">
        <f t="shared" si="26"/>
        <v>Leer</v>
      </c>
    </row>
    <row r="177" spans="1:40" s="174" customFormat="1" ht="15" customHeight="1">
      <c r="A177" s="63"/>
      <c r="B177" s="63"/>
      <c r="C177" s="84"/>
      <c r="D177" s="85"/>
      <c r="E177" s="62"/>
      <c r="F177" s="62"/>
      <c r="G177" s="62"/>
      <c r="H177" s="62"/>
      <c r="I177" s="62"/>
      <c r="J177" s="62"/>
      <c r="K177" s="62"/>
      <c r="L177" s="62"/>
      <c r="M177" s="62"/>
      <c r="N177" s="62"/>
      <c r="O177" s="62"/>
      <c r="P177" s="62"/>
      <c r="Q177" s="62"/>
      <c r="R177" s="62"/>
      <c r="S177" s="258"/>
      <c r="T177" s="248" t="str">
        <f t="shared" si="22"/>
        <v/>
      </c>
      <c r="U177" s="249" t="str">
        <f t="shared" si="23"/>
        <v/>
      </c>
      <c r="V177" s="294" t="str">
        <f t="shared" si="19"/>
        <v/>
      </c>
      <c r="W177" s="294" t="str">
        <f>IF(((E177="")+(F177="")),"",IF(VLOOKUP(F177,Mannschaften!$A$1:$B$54,2,FALSE)&lt;&gt;E177,"Reiter Mannschaften füllen",""))</f>
        <v/>
      </c>
      <c r="X177" s="248" t="str">
        <f>IF(ISBLANK(C177),"",IF((U177&gt;(LOOKUP(E177,WKNrListe,Übersicht!$O$7:$O$46)))+(U177&lt;(LOOKUP(E177,WKNrListe,Übersicht!$P$7:$P$46))),"JG falsch",""))</f>
        <v/>
      </c>
      <c r="Y177" s="255" t="str">
        <f>IF((A177="")*(B177=""),"",IF(ISERROR(MATCH(E177,WKNrListe,0)),"WK falsch",LOOKUP(E177,WKNrListe,Übersicht!$B$7:$B$46)))</f>
        <v/>
      </c>
      <c r="Z177" s="269" t="str">
        <f>IF(((AJ177=0)*(AH177&lt;&gt;"")*(AK177="-"))+((AJ177&lt;&gt;0)*(AH177&lt;&gt;"")*(AK177="-")),IF(AG177="X",Übersicht!$C$70,Übersicht!$C$69),"-")</f>
        <v>-</v>
      </c>
      <c r="AA177" s="252" t="str">
        <f>IF((($A177="")*($B177=""))+((MID($Y177,1,4)&lt;&gt;"Wahl")*(Deckblatt!$C$14='WK-Vorlagen'!$C$82))+(Deckblatt!$C$14&lt;&gt;'WK-Vorlagen'!$C$82),"",IF(ISERROR(MATCH(VALUE(MID(G177,1,2)),Schwierigkeitsstufen!$G$7:$G$19,0)),"Gerät falsch",LOOKUP(VALUE(MID(G177,1,2)),Schwierigkeitsstufen!$G$7:$G$19,Schwierigkeitsstufen!$H$7:$H$19)))</f>
        <v/>
      </c>
      <c r="AB177" s="250" t="str">
        <f>IF((($A177="")*($B177=""))+((MID($Y177,1,4)&lt;&gt;"Wahl")*(Deckblatt!$C$14='WK-Vorlagen'!$C$82))+(Deckblatt!$C$14&lt;&gt;'WK-Vorlagen'!$C$82),"",IF(ISERROR(MATCH(VALUE(MID(H177,1,2)),Schwierigkeitsstufen!$G$7:$G$19,0)),"Gerät falsch",LOOKUP(VALUE(MID(H177,1,2)),Schwierigkeitsstufen!$G$7:$G$19,Schwierigkeitsstufen!$H$7:$H$19)))</f>
        <v/>
      </c>
      <c r="AC177" s="250" t="str">
        <f>IF((($A177="")*($B177=""))+((MID($Y177,1,4)&lt;&gt;"Wahl")*(Deckblatt!$C$14='WK-Vorlagen'!$C$82))+(Deckblatt!$C$14&lt;&gt;'WK-Vorlagen'!$C$82),"",IF(ISERROR(MATCH(VALUE(MID(I177,1,2)),Schwierigkeitsstufen!$G$7:$G$19,0)),"Gerät falsch",LOOKUP(VALUE(MID(I177,1,2)),Schwierigkeitsstufen!$G$7:$G$19,Schwierigkeitsstufen!$H$7:$H$19)))</f>
        <v/>
      </c>
      <c r="AD177" s="251" t="str">
        <f>IF((($A177="")*($B177=""))+((MID($Y177,1,4)&lt;&gt;"Wahl")*(Deckblatt!$C$14='WK-Vorlagen'!$C$82))+(Deckblatt!$C$14&lt;&gt;'WK-Vorlagen'!$C$82),"",IF(ISERROR(MATCH(VALUE(MID(J177,1,2)),Schwierigkeitsstufen!$G$7:$G$19,0)),"Gerät falsch",LOOKUP(VALUE(MID(J177,1,2)),Schwierigkeitsstufen!$G$7:$G$19,Schwierigkeitsstufen!$H$7:$H$19)))</f>
        <v/>
      </c>
      <c r="AE177" s="211"/>
      <c r="AG177" s="221" t="str">
        <f t="shared" si="18"/>
        <v/>
      </c>
      <c r="AH177" s="222" t="str">
        <f t="shared" si="20"/>
        <v/>
      </c>
      <c r="AI177" s="220">
        <f t="shared" si="25"/>
        <v>4</v>
      </c>
      <c r="AJ177" s="222">
        <f t="shared" si="21"/>
        <v>0</v>
      </c>
      <c r="AK177" s="299" t="str">
        <f>IF(ISERROR(LOOKUP(E177,WKNrListe,Übersicht!$R$7:$R$46)),"-",LOOKUP(E177,WKNrListe,Übersicht!$R$7:$R$46))</f>
        <v>-</v>
      </c>
      <c r="AL177" s="299" t="str">
        <f t="shared" si="24"/>
        <v>-</v>
      </c>
      <c r="AM177" s="303"/>
      <c r="AN177" s="174" t="str">
        <f t="shared" si="26"/>
        <v>Leer</v>
      </c>
    </row>
    <row r="178" spans="1:40" s="174" customFormat="1" ht="15" customHeight="1">
      <c r="A178" s="63"/>
      <c r="B178" s="63"/>
      <c r="C178" s="84"/>
      <c r="D178" s="85"/>
      <c r="E178" s="62"/>
      <c r="F178" s="62"/>
      <c r="G178" s="62"/>
      <c r="H178" s="62"/>
      <c r="I178" s="62"/>
      <c r="J178" s="62"/>
      <c r="K178" s="62"/>
      <c r="L178" s="62"/>
      <c r="M178" s="62"/>
      <c r="N178" s="62"/>
      <c r="O178" s="62"/>
      <c r="P178" s="62"/>
      <c r="Q178" s="62"/>
      <c r="R178" s="62"/>
      <c r="S178" s="258"/>
      <c r="T178" s="248" t="str">
        <f t="shared" si="22"/>
        <v/>
      </c>
      <c r="U178" s="249" t="str">
        <f t="shared" si="23"/>
        <v/>
      </c>
      <c r="V178" s="294" t="str">
        <f t="shared" si="19"/>
        <v/>
      </c>
      <c r="W178" s="294" t="str">
        <f>IF(((E178="")+(F178="")),"",IF(VLOOKUP(F178,Mannschaften!$A$1:$B$54,2,FALSE)&lt;&gt;E178,"Reiter Mannschaften füllen",""))</f>
        <v/>
      </c>
      <c r="X178" s="248" t="str">
        <f>IF(ISBLANK(C178),"",IF((U178&gt;(LOOKUP(E178,WKNrListe,Übersicht!$O$7:$O$46)))+(U178&lt;(LOOKUP(E178,WKNrListe,Übersicht!$P$7:$P$46))),"JG falsch",""))</f>
        <v/>
      </c>
      <c r="Y178" s="255" t="str">
        <f>IF((A178="")*(B178=""),"",IF(ISERROR(MATCH(E178,WKNrListe,0)),"WK falsch",LOOKUP(E178,WKNrListe,Übersicht!$B$7:$B$46)))</f>
        <v/>
      </c>
      <c r="Z178" s="269" t="str">
        <f>IF(((AJ178=0)*(AH178&lt;&gt;"")*(AK178="-"))+((AJ178&lt;&gt;0)*(AH178&lt;&gt;"")*(AK178="-")),IF(AG178="X",Übersicht!$C$70,Übersicht!$C$69),"-")</f>
        <v>-</v>
      </c>
      <c r="AA178" s="252" t="str">
        <f>IF((($A178="")*($B178=""))+((MID($Y178,1,4)&lt;&gt;"Wahl")*(Deckblatt!$C$14='WK-Vorlagen'!$C$82))+(Deckblatt!$C$14&lt;&gt;'WK-Vorlagen'!$C$82),"",IF(ISERROR(MATCH(VALUE(MID(G178,1,2)),Schwierigkeitsstufen!$G$7:$G$19,0)),"Gerät falsch",LOOKUP(VALUE(MID(G178,1,2)),Schwierigkeitsstufen!$G$7:$G$19,Schwierigkeitsstufen!$H$7:$H$19)))</f>
        <v/>
      </c>
      <c r="AB178" s="250" t="str">
        <f>IF((($A178="")*($B178=""))+((MID($Y178,1,4)&lt;&gt;"Wahl")*(Deckblatt!$C$14='WK-Vorlagen'!$C$82))+(Deckblatt!$C$14&lt;&gt;'WK-Vorlagen'!$C$82),"",IF(ISERROR(MATCH(VALUE(MID(H178,1,2)),Schwierigkeitsstufen!$G$7:$G$19,0)),"Gerät falsch",LOOKUP(VALUE(MID(H178,1,2)),Schwierigkeitsstufen!$G$7:$G$19,Schwierigkeitsstufen!$H$7:$H$19)))</f>
        <v/>
      </c>
      <c r="AC178" s="250" t="str">
        <f>IF((($A178="")*($B178=""))+((MID($Y178,1,4)&lt;&gt;"Wahl")*(Deckblatt!$C$14='WK-Vorlagen'!$C$82))+(Deckblatt!$C$14&lt;&gt;'WK-Vorlagen'!$C$82),"",IF(ISERROR(MATCH(VALUE(MID(I178,1,2)),Schwierigkeitsstufen!$G$7:$G$19,0)),"Gerät falsch",LOOKUP(VALUE(MID(I178,1,2)),Schwierigkeitsstufen!$G$7:$G$19,Schwierigkeitsstufen!$H$7:$H$19)))</f>
        <v/>
      </c>
      <c r="AD178" s="251" t="str">
        <f>IF((($A178="")*($B178=""))+((MID($Y178,1,4)&lt;&gt;"Wahl")*(Deckblatt!$C$14='WK-Vorlagen'!$C$82))+(Deckblatt!$C$14&lt;&gt;'WK-Vorlagen'!$C$82),"",IF(ISERROR(MATCH(VALUE(MID(J178,1,2)),Schwierigkeitsstufen!$G$7:$G$19,0)),"Gerät falsch",LOOKUP(VALUE(MID(J178,1,2)),Schwierigkeitsstufen!$G$7:$G$19,Schwierigkeitsstufen!$H$7:$H$19)))</f>
        <v/>
      </c>
      <c r="AE178" s="211"/>
      <c r="AG178" s="221" t="str">
        <f t="shared" si="18"/>
        <v/>
      </c>
      <c r="AH178" s="222" t="str">
        <f t="shared" si="20"/>
        <v/>
      </c>
      <c r="AI178" s="220">
        <f t="shared" si="25"/>
        <v>4</v>
      </c>
      <c r="AJ178" s="222">
        <f t="shared" si="21"/>
        <v>0</v>
      </c>
      <c r="AK178" s="299" t="str">
        <f>IF(ISERROR(LOOKUP(E178,WKNrListe,Übersicht!$R$7:$R$46)),"-",LOOKUP(E178,WKNrListe,Übersicht!$R$7:$R$46))</f>
        <v>-</v>
      </c>
      <c r="AL178" s="299" t="str">
        <f t="shared" si="24"/>
        <v>-</v>
      </c>
      <c r="AM178" s="303"/>
      <c r="AN178" s="174" t="str">
        <f t="shared" si="26"/>
        <v>Leer</v>
      </c>
    </row>
    <row r="179" spans="1:40" s="174" customFormat="1" ht="15" customHeight="1">
      <c r="A179" s="63"/>
      <c r="B179" s="63"/>
      <c r="C179" s="84"/>
      <c r="D179" s="85"/>
      <c r="E179" s="62"/>
      <c r="F179" s="62"/>
      <c r="G179" s="62"/>
      <c r="H179" s="62"/>
      <c r="I179" s="62"/>
      <c r="J179" s="62"/>
      <c r="K179" s="62"/>
      <c r="L179" s="62"/>
      <c r="M179" s="62"/>
      <c r="N179" s="62"/>
      <c r="O179" s="62"/>
      <c r="P179" s="62"/>
      <c r="Q179" s="62"/>
      <c r="R179" s="62"/>
      <c r="S179" s="258"/>
      <c r="T179" s="248" t="str">
        <f t="shared" si="22"/>
        <v/>
      </c>
      <c r="U179" s="249" t="str">
        <f t="shared" si="23"/>
        <v/>
      </c>
      <c r="V179" s="294" t="str">
        <f t="shared" si="19"/>
        <v/>
      </c>
      <c r="W179" s="294" t="str">
        <f>IF(((E179="")+(F179="")),"",IF(VLOOKUP(F179,Mannschaften!$A$1:$B$54,2,FALSE)&lt;&gt;E179,"Reiter Mannschaften füllen",""))</f>
        <v/>
      </c>
      <c r="X179" s="248" t="str">
        <f>IF(ISBLANK(C179),"",IF((U179&gt;(LOOKUP(E179,WKNrListe,Übersicht!$O$7:$O$46)))+(U179&lt;(LOOKUP(E179,WKNrListe,Übersicht!$P$7:$P$46))),"JG falsch",""))</f>
        <v/>
      </c>
      <c r="Y179" s="255" t="str">
        <f>IF((A179="")*(B179=""),"",IF(ISERROR(MATCH(E179,WKNrListe,0)),"WK falsch",LOOKUP(E179,WKNrListe,Übersicht!$B$7:$B$46)))</f>
        <v/>
      </c>
      <c r="Z179" s="269" t="str">
        <f>IF(((AJ179=0)*(AH179&lt;&gt;"")*(AK179="-"))+((AJ179&lt;&gt;0)*(AH179&lt;&gt;"")*(AK179="-")),IF(AG179="X",Übersicht!$C$70,Übersicht!$C$69),"-")</f>
        <v>-</v>
      </c>
      <c r="AA179" s="252" t="str">
        <f>IF((($A179="")*($B179=""))+((MID($Y179,1,4)&lt;&gt;"Wahl")*(Deckblatt!$C$14='WK-Vorlagen'!$C$82))+(Deckblatt!$C$14&lt;&gt;'WK-Vorlagen'!$C$82),"",IF(ISERROR(MATCH(VALUE(MID(G179,1,2)),Schwierigkeitsstufen!$G$7:$G$19,0)),"Gerät falsch",LOOKUP(VALUE(MID(G179,1,2)),Schwierigkeitsstufen!$G$7:$G$19,Schwierigkeitsstufen!$H$7:$H$19)))</f>
        <v/>
      </c>
      <c r="AB179" s="250" t="str">
        <f>IF((($A179="")*($B179=""))+((MID($Y179,1,4)&lt;&gt;"Wahl")*(Deckblatt!$C$14='WK-Vorlagen'!$C$82))+(Deckblatt!$C$14&lt;&gt;'WK-Vorlagen'!$C$82),"",IF(ISERROR(MATCH(VALUE(MID(H179,1,2)),Schwierigkeitsstufen!$G$7:$G$19,0)),"Gerät falsch",LOOKUP(VALUE(MID(H179,1,2)),Schwierigkeitsstufen!$G$7:$G$19,Schwierigkeitsstufen!$H$7:$H$19)))</f>
        <v/>
      </c>
      <c r="AC179" s="250" t="str">
        <f>IF((($A179="")*($B179=""))+((MID($Y179,1,4)&lt;&gt;"Wahl")*(Deckblatt!$C$14='WK-Vorlagen'!$C$82))+(Deckblatt!$C$14&lt;&gt;'WK-Vorlagen'!$C$82),"",IF(ISERROR(MATCH(VALUE(MID(I179,1,2)),Schwierigkeitsstufen!$G$7:$G$19,0)),"Gerät falsch",LOOKUP(VALUE(MID(I179,1,2)),Schwierigkeitsstufen!$G$7:$G$19,Schwierigkeitsstufen!$H$7:$H$19)))</f>
        <v/>
      </c>
      <c r="AD179" s="251" t="str">
        <f>IF((($A179="")*($B179=""))+((MID($Y179,1,4)&lt;&gt;"Wahl")*(Deckblatt!$C$14='WK-Vorlagen'!$C$82))+(Deckblatt!$C$14&lt;&gt;'WK-Vorlagen'!$C$82),"",IF(ISERROR(MATCH(VALUE(MID(J179,1,2)),Schwierigkeitsstufen!$G$7:$G$19,0)),"Gerät falsch",LOOKUP(VALUE(MID(J179,1,2)),Schwierigkeitsstufen!$G$7:$G$19,Schwierigkeitsstufen!$H$7:$H$19)))</f>
        <v/>
      </c>
      <c r="AE179" s="211"/>
      <c r="AG179" s="221" t="str">
        <f t="shared" si="18"/>
        <v/>
      </c>
      <c r="AH179" s="222" t="str">
        <f t="shared" si="20"/>
        <v/>
      </c>
      <c r="AI179" s="220">
        <f t="shared" si="25"/>
        <v>4</v>
      </c>
      <c r="AJ179" s="222">
        <f t="shared" si="21"/>
        <v>0</v>
      </c>
      <c r="AK179" s="299" t="str">
        <f>IF(ISERROR(LOOKUP(E179,WKNrListe,Übersicht!$R$7:$R$46)),"-",LOOKUP(E179,WKNrListe,Übersicht!$R$7:$R$46))</f>
        <v>-</v>
      </c>
      <c r="AL179" s="299" t="str">
        <f t="shared" si="24"/>
        <v>-</v>
      </c>
      <c r="AM179" s="303"/>
      <c r="AN179" s="174" t="str">
        <f t="shared" si="26"/>
        <v>Leer</v>
      </c>
    </row>
    <row r="180" spans="1:40" s="174" customFormat="1" ht="15" customHeight="1">
      <c r="A180" s="63"/>
      <c r="B180" s="63"/>
      <c r="C180" s="84"/>
      <c r="D180" s="85"/>
      <c r="E180" s="62"/>
      <c r="F180" s="62"/>
      <c r="G180" s="62"/>
      <c r="H180" s="62"/>
      <c r="I180" s="62"/>
      <c r="J180" s="62"/>
      <c r="K180" s="62"/>
      <c r="L180" s="62"/>
      <c r="M180" s="62"/>
      <c r="N180" s="62"/>
      <c r="O180" s="62"/>
      <c r="P180" s="62"/>
      <c r="Q180" s="62"/>
      <c r="R180" s="62"/>
      <c r="S180" s="258"/>
      <c r="T180" s="248" t="str">
        <f t="shared" si="22"/>
        <v/>
      </c>
      <c r="U180" s="249" t="str">
        <f t="shared" si="23"/>
        <v/>
      </c>
      <c r="V180" s="294" t="str">
        <f t="shared" si="19"/>
        <v/>
      </c>
      <c r="W180" s="294" t="str">
        <f>IF(((E180="")+(F180="")),"",IF(VLOOKUP(F180,Mannschaften!$A$1:$B$54,2,FALSE)&lt;&gt;E180,"Reiter Mannschaften füllen",""))</f>
        <v/>
      </c>
      <c r="X180" s="248" t="str">
        <f>IF(ISBLANK(C180),"",IF((U180&gt;(LOOKUP(E180,WKNrListe,Übersicht!$O$7:$O$46)))+(U180&lt;(LOOKUP(E180,WKNrListe,Übersicht!$P$7:$P$46))),"JG falsch",""))</f>
        <v/>
      </c>
      <c r="Y180" s="255" t="str">
        <f>IF((A180="")*(B180=""),"",IF(ISERROR(MATCH(E180,WKNrListe,0)),"WK falsch",LOOKUP(E180,WKNrListe,Übersicht!$B$7:$B$46)))</f>
        <v/>
      </c>
      <c r="Z180" s="269" t="str">
        <f>IF(((AJ180=0)*(AH180&lt;&gt;"")*(AK180="-"))+((AJ180&lt;&gt;0)*(AH180&lt;&gt;"")*(AK180="-")),IF(AG180="X",Übersicht!$C$70,Übersicht!$C$69),"-")</f>
        <v>-</v>
      </c>
      <c r="AA180" s="252" t="str">
        <f>IF((($A180="")*($B180=""))+((MID($Y180,1,4)&lt;&gt;"Wahl")*(Deckblatt!$C$14='WK-Vorlagen'!$C$82))+(Deckblatt!$C$14&lt;&gt;'WK-Vorlagen'!$C$82),"",IF(ISERROR(MATCH(VALUE(MID(G180,1,2)),Schwierigkeitsstufen!$G$7:$G$19,0)),"Gerät falsch",LOOKUP(VALUE(MID(G180,1,2)),Schwierigkeitsstufen!$G$7:$G$19,Schwierigkeitsstufen!$H$7:$H$19)))</f>
        <v/>
      </c>
      <c r="AB180" s="250" t="str">
        <f>IF((($A180="")*($B180=""))+((MID($Y180,1,4)&lt;&gt;"Wahl")*(Deckblatt!$C$14='WK-Vorlagen'!$C$82))+(Deckblatt!$C$14&lt;&gt;'WK-Vorlagen'!$C$82),"",IF(ISERROR(MATCH(VALUE(MID(H180,1,2)),Schwierigkeitsstufen!$G$7:$G$19,0)),"Gerät falsch",LOOKUP(VALUE(MID(H180,1,2)),Schwierigkeitsstufen!$G$7:$G$19,Schwierigkeitsstufen!$H$7:$H$19)))</f>
        <v/>
      </c>
      <c r="AC180" s="250" t="str">
        <f>IF((($A180="")*($B180=""))+((MID($Y180,1,4)&lt;&gt;"Wahl")*(Deckblatt!$C$14='WK-Vorlagen'!$C$82))+(Deckblatt!$C$14&lt;&gt;'WK-Vorlagen'!$C$82),"",IF(ISERROR(MATCH(VALUE(MID(I180,1,2)),Schwierigkeitsstufen!$G$7:$G$19,0)),"Gerät falsch",LOOKUP(VALUE(MID(I180,1,2)),Schwierigkeitsstufen!$G$7:$G$19,Schwierigkeitsstufen!$H$7:$H$19)))</f>
        <v/>
      </c>
      <c r="AD180" s="251" t="str">
        <f>IF((($A180="")*($B180=""))+((MID($Y180,1,4)&lt;&gt;"Wahl")*(Deckblatt!$C$14='WK-Vorlagen'!$C$82))+(Deckblatt!$C$14&lt;&gt;'WK-Vorlagen'!$C$82),"",IF(ISERROR(MATCH(VALUE(MID(J180,1,2)),Schwierigkeitsstufen!$G$7:$G$19,0)),"Gerät falsch",LOOKUP(VALUE(MID(J180,1,2)),Schwierigkeitsstufen!$G$7:$G$19,Schwierigkeitsstufen!$H$7:$H$19)))</f>
        <v/>
      </c>
      <c r="AE180" s="211"/>
      <c r="AG180" s="221" t="str">
        <f t="shared" si="18"/>
        <v/>
      </c>
      <c r="AH180" s="222" t="str">
        <f t="shared" si="20"/>
        <v/>
      </c>
      <c r="AI180" s="220">
        <f t="shared" si="25"/>
        <v>4</v>
      </c>
      <c r="AJ180" s="222">
        <f t="shared" si="21"/>
        <v>0</v>
      </c>
      <c r="AK180" s="299" t="str">
        <f>IF(ISERROR(LOOKUP(E180,WKNrListe,Übersicht!$R$7:$R$46)),"-",LOOKUP(E180,WKNrListe,Übersicht!$R$7:$R$46))</f>
        <v>-</v>
      </c>
      <c r="AL180" s="299" t="str">
        <f t="shared" si="24"/>
        <v>-</v>
      </c>
      <c r="AM180" s="303"/>
      <c r="AN180" s="174" t="str">
        <f t="shared" si="26"/>
        <v>Leer</v>
      </c>
    </row>
    <row r="181" spans="1:40" s="174" customFormat="1" ht="15" customHeight="1">
      <c r="A181" s="63"/>
      <c r="B181" s="63"/>
      <c r="C181" s="84"/>
      <c r="D181" s="85"/>
      <c r="E181" s="62"/>
      <c r="F181" s="62"/>
      <c r="G181" s="62"/>
      <c r="H181" s="62"/>
      <c r="I181" s="62"/>
      <c r="J181" s="62"/>
      <c r="K181" s="62"/>
      <c r="L181" s="62"/>
      <c r="M181" s="62"/>
      <c r="N181" s="62"/>
      <c r="O181" s="62"/>
      <c r="P181" s="62"/>
      <c r="Q181" s="62"/>
      <c r="R181" s="62"/>
      <c r="S181" s="258"/>
      <c r="T181" s="248" t="str">
        <f t="shared" si="22"/>
        <v/>
      </c>
      <c r="U181" s="249" t="str">
        <f t="shared" si="23"/>
        <v/>
      </c>
      <c r="V181" s="294" t="str">
        <f t="shared" si="19"/>
        <v/>
      </c>
      <c r="W181" s="294" t="str">
        <f>IF(((E181="")+(F181="")),"",IF(VLOOKUP(F181,Mannschaften!$A$1:$B$54,2,FALSE)&lt;&gt;E181,"Reiter Mannschaften füllen",""))</f>
        <v/>
      </c>
      <c r="X181" s="248" t="str">
        <f>IF(ISBLANK(C181),"",IF((U181&gt;(LOOKUP(E181,WKNrListe,Übersicht!$O$7:$O$46)))+(U181&lt;(LOOKUP(E181,WKNrListe,Übersicht!$P$7:$P$46))),"JG falsch",""))</f>
        <v/>
      </c>
      <c r="Y181" s="255" t="str">
        <f>IF((A181="")*(B181=""),"",IF(ISERROR(MATCH(E181,WKNrListe,0)),"WK falsch",LOOKUP(E181,WKNrListe,Übersicht!$B$7:$B$46)))</f>
        <v/>
      </c>
      <c r="Z181" s="269" t="str">
        <f>IF(((AJ181=0)*(AH181&lt;&gt;"")*(AK181="-"))+((AJ181&lt;&gt;0)*(AH181&lt;&gt;"")*(AK181="-")),IF(AG181="X",Übersicht!$C$70,Übersicht!$C$69),"-")</f>
        <v>-</v>
      </c>
      <c r="AA181" s="252" t="str">
        <f>IF((($A181="")*($B181=""))+((MID($Y181,1,4)&lt;&gt;"Wahl")*(Deckblatt!$C$14='WK-Vorlagen'!$C$82))+(Deckblatt!$C$14&lt;&gt;'WK-Vorlagen'!$C$82),"",IF(ISERROR(MATCH(VALUE(MID(G181,1,2)),Schwierigkeitsstufen!$G$7:$G$19,0)),"Gerät falsch",LOOKUP(VALUE(MID(G181,1,2)),Schwierigkeitsstufen!$G$7:$G$19,Schwierigkeitsstufen!$H$7:$H$19)))</f>
        <v/>
      </c>
      <c r="AB181" s="250" t="str">
        <f>IF((($A181="")*($B181=""))+((MID($Y181,1,4)&lt;&gt;"Wahl")*(Deckblatt!$C$14='WK-Vorlagen'!$C$82))+(Deckblatt!$C$14&lt;&gt;'WK-Vorlagen'!$C$82),"",IF(ISERROR(MATCH(VALUE(MID(H181,1,2)),Schwierigkeitsstufen!$G$7:$G$19,0)),"Gerät falsch",LOOKUP(VALUE(MID(H181,1,2)),Schwierigkeitsstufen!$G$7:$G$19,Schwierigkeitsstufen!$H$7:$H$19)))</f>
        <v/>
      </c>
      <c r="AC181" s="250" t="str">
        <f>IF((($A181="")*($B181=""))+((MID($Y181,1,4)&lt;&gt;"Wahl")*(Deckblatt!$C$14='WK-Vorlagen'!$C$82))+(Deckblatt!$C$14&lt;&gt;'WK-Vorlagen'!$C$82),"",IF(ISERROR(MATCH(VALUE(MID(I181,1,2)),Schwierigkeitsstufen!$G$7:$G$19,0)),"Gerät falsch",LOOKUP(VALUE(MID(I181,1,2)),Schwierigkeitsstufen!$G$7:$G$19,Schwierigkeitsstufen!$H$7:$H$19)))</f>
        <v/>
      </c>
      <c r="AD181" s="251" t="str">
        <f>IF((($A181="")*($B181=""))+((MID($Y181,1,4)&lt;&gt;"Wahl")*(Deckblatt!$C$14='WK-Vorlagen'!$C$82))+(Deckblatt!$C$14&lt;&gt;'WK-Vorlagen'!$C$82),"",IF(ISERROR(MATCH(VALUE(MID(J181,1,2)),Schwierigkeitsstufen!$G$7:$G$19,0)),"Gerät falsch",LOOKUP(VALUE(MID(J181,1,2)),Schwierigkeitsstufen!$G$7:$G$19,Schwierigkeitsstufen!$H$7:$H$19)))</f>
        <v/>
      </c>
      <c r="AE181" s="211"/>
      <c r="AG181" s="221" t="str">
        <f t="shared" si="18"/>
        <v/>
      </c>
      <c r="AH181" s="222" t="str">
        <f t="shared" si="20"/>
        <v/>
      </c>
      <c r="AI181" s="220">
        <f t="shared" si="25"/>
        <v>4</v>
      </c>
      <c r="AJ181" s="222">
        <f t="shared" si="21"/>
        <v>0</v>
      </c>
      <c r="AK181" s="299" t="str">
        <f>IF(ISERROR(LOOKUP(E181,WKNrListe,Übersicht!$R$7:$R$46)),"-",LOOKUP(E181,WKNrListe,Übersicht!$R$7:$R$46))</f>
        <v>-</v>
      </c>
      <c r="AL181" s="299" t="str">
        <f t="shared" si="24"/>
        <v>-</v>
      </c>
      <c r="AM181" s="303"/>
      <c r="AN181" s="174" t="str">
        <f t="shared" si="26"/>
        <v>Leer</v>
      </c>
    </row>
    <row r="182" spans="1:40" s="174" customFormat="1" ht="15" customHeight="1">
      <c r="A182" s="63"/>
      <c r="B182" s="63"/>
      <c r="C182" s="84"/>
      <c r="D182" s="85"/>
      <c r="E182" s="62"/>
      <c r="F182" s="62"/>
      <c r="G182" s="62"/>
      <c r="H182" s="62"/>
      <c r="I182" s="62"/>
      <c r="J182" s="62"/>
      <c r="K182" s="62"/>
      <c r="L182" s="62"/>
      <c r="M182" s="62"/>
      <c r="N182" s="62"/>
      <c r="O182" s="62"/>
      <c r="P182" s="62"/>
      <c r="Q182" s="62"/>
      <c r="R182" s="62"/>
      <c r="S182" s="258"/>
      <c r="T182" s="248" t="str">
        <f t="shared" si="22"/>
        <v/>
      </c>
      <c r="U182" s="249" t="str">
        <f t="shared" si="23"/>
        <v/>
      </c>
      <c r="V182" s="294" t="str">
        <f t="shared" si="19"/>
        <v/>
      </c>
      <c r="W182" s="294" t="str">
        <f>IF(((E182="")+(F182="")),"",IF(VLOOKUP(F182,Mannschaften!$A$1:$B$54,2,FALSE)&lt;&gt;E182,"Reiter Mannschaften füllen",""))</f>
        <v/>
      </c>
      <c r="X182" s="248" t="str">
        <f>IF(ISBLANK(C182),"",IF((U182&gt;(LOOKUP(E182,WKNrListe,Übersicht!$O$7:$O$46)))+(U182&lt;(LOOKUP(E182,WKNrListe,Übersicht!$P$7:$P$46))),"JG falsch",""))</f>
        <v/>
      </c>
      <c r="Y182" s="255" t="str">
        <f>IF((A182="")*(B182=""),"",IF(ISERROR(MATCH(E182,WKNrListe,0)),"WK falsch",LOOKUP(E182,WKNrListe,Übersicht!$B$7:$B$46)))</f>
        <v/>
      </c>
      <c r="Z182" s="269" t="str">
        <f>IF(((AJ182=0)*(AH182&lt;&gt;"")*(AK182="-"))+((AJ182&lt;&gt;0)*(AH182&lt;&gt;"")*(AK182="-")),IF(AG182="X",Übersicht!$C$70,Übersicht!$C$69),"-")</f>
        <v>-</v>
      </c>
      <c r="AA182" s="252" t="str">
        <f>IF((($A182="")*($B182=""))+((MID($Y182,1,4)&lt;&gt;"Wahl")*(Deckblatt!$C$14='WK-Vorlagen'!$C$82))+(Deckblatt!$C$14&lt;&gt;'WK-Vorlagen'!$C$82),"",IF(ISERROR(MATCH(VALUE(MID(G182,1,2)),Schwierigkeitsstufen!$G$7:$G$19,0)),"Gerät falsch",LOOKUP(VALUE(MID(G182,1,2)),Schwierigkeitsstufen!$G$7:$G$19,Schwierigkeitsstufen!$H$7:$H$19)))</f>
        <v/>
      </c>
      <c r="AB182" s="250" t="str">
        <f>IF((($A182="")*($B182=""))+((MID($Y182,1,4)&lt;&gt;"Wahl")*(Deckblatt!$C$14='WK-Vorlagen'!$C$82))+(Deckblatt!$C$14&lt;&gt;'WK-Vorlagen'!$C$82),"",IF(ISERROR(MATCH(VALUE(MID(H182,1,2)),Schwierigkeitsstufen!$G$7:$G$19,0)),"Gerät falsch",LOOKUP(VALUE(MID(H182,1,2)),Schwierigkeitsstufen!$G$7:$G$19,Schwierigkeitsstufen!$H$7:$H$19)))</f>
        <v/>
      </c>
      <c r="AC182" s="250" t="str">
        <f>IF((($A182="")*($B182=""))+((MID($Y182,1,4)&lt;&gt;"Wahl")*(Deckblatt!$C$14='WK-Vorlagen'!$C$82))+(Deckblatt!$C$14&lt;&gt;'WK-Vorlagen'!$C$82),"",IF(ISERROR(MATCH(VALUE(MID(I182,1,2)),Schwierigkeitsstufen!$G$7:$G$19,0)),"Gerät falsch",LOOKUP(VALUE(MID(I182,1,2)),Schwierigkeitsstufen!$G$7:$G$19,Schwierigkeitsstufen!$H$7:$H$19)))</f>
        <v/>
      </c>
      <c r="AD182" s="251" t="str">
        <f>IF((($A182="")*($B182=""))+((MID($Y182,1,4)&lt;&gt;"Wahl")*(Deckblatt!$C$14='WK-Vorlagen'!$C$82))+(Deckblatt!$C$14&lt;&gt;'WK-Vorlagen'!$C$82),"",IF(ISERROR(MATCH(VALUE(MID(J182,1,2)),Schwierigkeitsstufen!$G$7:$G$19,0)),"Gerät falsch",LOOKUP(VALUE(MID(J182,1,2)),Schwierigkeitsstufen!$G$7:$G$19,Schwierigkeitsstufen!$H$7:$H$19)))</f>
        <v/>
      </c>
      <c r="AE182" s="211"/>
      <c r="AG182" s="221" t="str">
        <f t="shared" si="18"/>
        <v/>
      </c>
      <c r="AH182" s="222" t="str">
        <f t="shared" si="20"/>
        <v/>
      </c>
      <c r="AI182" s="220">
        <f t="shared" si="25"/>
        <v>4</v>
      </c>
      <c r="AJ182" s="222">
        <f t="shared" si="21"/>
        <v>0</v>
      </c>
      <c r="AK182" s="299" t="str">
        <f>IF(ISERROR(LOOKUP(E182,WKNrListe,Übersicht!$R$7:$R$46)),"-",LOOKUP(E182,WKNrListe,Übersicht!$R$7:$R$46))</f>
        <v>-</v>
      </c>
      <c r="AL182" s="299" t="str">
        <f t="shared" si="24"/>
        <v>-</v>
      </c>
      <c r="AM182" s="303"/>
      <c r="AN182" s="174" t="str">
        <f t="shared" si="26"/>
        <v>Leer</v>
      </c>
    </row>
    <row r="183" spans="1:40" s="174" customFormat="1" ht="15" customHeight="1">
      <c r="A183" s="63"/>
      <c r="B183" s="63"/>
      <c r="C183" s="84"/>
      <c r="D183" s="85"/>
      <c r="E183" s="62"/>
      <c r="F183" s="62"/>
      <c r="G183" s="62"/>
      <c r="H183" s="62"/>
      <c r="I183" s="62"/>
      <c r="J183" s="62"/>
      <c r="K183" s="62"/>
      <c r="L183" s="62"/>
      <c r="M183" s="62"/>
      <c r="N183" s="62"/>
      <c r="O183" s="62"/>
      <c r="P183" s="62"/>
      <c r="Q183" s="62"/>
      <c r="R183" s="62"/>
      <c r="S183" s="258"/>
      <c r="T183" s="248" t="str">
        <f t="shared" si="22"/>
        <v/>
      </c>
      <c r="U183" s="249" t="str">
        <f t="shared" si="23"/>
        <v/>
      </c>
      <c r="V183" s="294" t="str">
        <f t="shared" si="19"/>
        <v/>
      </c>
      <c r="W183" s="294" t="str">
        <f>IF(((E183="")+(F183="")),"",IF(VLOOKUP(F183,Mannschaften!$A$1:$B$54,2,FALSE)&lt;&gt;E183,"Reiter Mannschaften füllen",""))</f>
        <v/>
      </c>
      <c r="X183" s="248" t="str">
        <f>IF(ISBLANK(C183),"",IF((U183&gt;(LOOKUP(E183,WKNrListe,Übersicht!$O$7:$O$46)))+(U183&lt;(LOOKUP(E183,WKNrListe,Übersicht!$P$7:$P$46))),"JG falsch",""))</f>
        <v/>
      </c>
      <c r="Y183" s="255" t="str">
        <f>IF((A183="")*(B183=""),"",IF(ISERROR(MATCH(E183,WKNrListe,0)),"WK falsch",LOOKUP(E183,WKNrListe,Übersicht!$B$7:$B$46)))</f>
        <v/>
      </c>
      <c r="Z183" s="269" t="str">
        <f>IF(((AJ183=0)*(AH183&lt;&gt;"")*(AK183="-"))+((AJ183&lt;&gt;0)*(AH183&lt;&gt;"")*(AK183="-")),IF(AG183="X",Übersicht!$C$70,Übersicht!$C$69),"-")</f>
        <v>-</v>
      </c>
      <c r="AA183" s="252" t="str">
        <f>IF((($A183="")*($B183=""))+((MID($Y183,1,4)&lt;&gt;"Wahl")*(Deckblatt!$C$14='WK-Vorlagen'!$C$82))+(Deckblatt!$C$14&lt;&gt;'WK-Vorlagen'!$C$82),"",IF(ISERROR(MATCH(VALUE(MID(G183,1,2)),Schwierigkeitsstufen!$G$7:$G$19,0)),"Gerät falsch",LOOKUP(VALUE(MID(G183,1,2)),Schwierigkeitsstufen!$G$7:$G$19,Schwierigkeitsstufen!$H$7:$H$19)))</f>
        <v/>
      </c>
      <c r="AB183" s="250" t="str">
        <f>IF((($A183="")*($B183=""))+((MID($Y183,1,4)&lt;&gt;"Wahl")*(Deckblatt!$C$14='WK-Vorlagen'!$C$82))+(Deckblatt!$C$14&lt;&gt;'WK-Vorlagen'!$C$82),"",IF(ISERROR(MATCH(VALUE(MID(H183,1,2)),Schwierigkeitsstufen!$G$7:$G$19,0)),"Gerät falsch",LOOKUP(VALUE(MID(H183,1,2)),Schwierigkeitsstufen!$G$7:$G$19,Schwierigkeitsstufen!$H$7:$H$19)))</f>
        <v/>
      </c>
      <c r="AC183" s="250" t="str">
        <f>IF((($A183="")*($B183=""))+((MID($Y183,1,4)&lt;&gt;"Wahl")*(Deckblatt!$C$14='WK-Vorlagen'!$C$82))+(Deckblatt!$C$14&lt;&gt;'WK-Vorlagen'!$C$82),"",IF(ISERROR(MATCH(VALUE(MID(I183,1,2)),Schwierigkeitsstufen!$G$7:$G$19,0)),"Gerät falsch",LOOKUP(VALUE(MID(I183,1,2)),Schwierigkeitsstufen!$G$7:$G$19,Schwierigkeitsstufen!$H$7:$H$19)))</f>
        <v/>
      </c>
      <c r="AD183" s="251" t="str">
        <f>IF((($A183="")*($B183=""))+((MID($Y183,1,4)&lt;&gt;"Wahl")*(Deckblatt!$C$14='WK-Vorlagen'!$C$82))+(Deckblatt!$C$14&lt;&gt;'WK-Vorlagen'!$C$82),"",IF(ISERROR(MATCH(VALUE(MID(J183,1,2)),Schwierigkeitsstufen!$G$7:$G$19,0)),"Gerät falsch",LOOKUP(VALUE(MID(J183,1,2)),Schwierigkeitsstufen!$G$7:$G$19,Schwierigkeitsstufen!$H$7:$H$19)))</f>
        <v/>
      </c>
      <c r="AE183" s="211"/>
      <c r="AG183" s="221" t="str">
        <f t="shared" si="18"/>
        <v/>
      </c>
      <c r="AH183" s="222" t="str">
        <f t="shared" si="20"/>
        <v/>
      </c>
      <c r="AI183" s="220">
        <f t="shared" si="25"/>
        <v>4</v>
      </c>
      <c r="AJ183" s="222">
        <f t="shared" si="21"/>
        <v>0</v>
      </c>
      <c r="AK183" s="299" t="str">
        <f>IF(ISERROR(LOOKUP(E183,WKNrListe,Übersicht!$R$7:$R$46)),"-",LOOKUP(E183,WKNrListe,Übersicht!$R$7:$R$46))</f>
        <v>-</v>
      </c>
      <c r="AL183" s="299" t="str">
        <f t="shared" si="24"/>
        <v>-</v>
      </c>
      <c r="AM183" s="303"/>
      <c r="AN183" s="174" t="str">
        <f t="shared" si="26"/>
        <v>Leer</v>
      </c>
    </row>
    <row r="184" spans="1:40" s="174" customFormat="1" ht="15" customHeight="1">
      <c r="A184" s="63"/>
      <c r="B184" s="63"/>
      <c r="C184" s="84"/>
      <c r="D184" s="85"/>
      <c r="E184" s="62"/>
      <c r="F184" s="62"/>
      <c r="G184" s="62"/>
      <c r="H184" s="62"/>
      <c r="I184" s="62"/>
      <c r="J184" s="62"/>
      <c r="K184" s="62"/>
      <c r="L184" s="62"/>
      <c r="M184" s="62"/>
      <c r="N184" s="62"/>
      <c r="O184" s="62"/>
      <c r="P184" s="62"/>
      <c r="Q184" s="62"/>
      <c r="R184" s="62"/>
      <c r="S184" s="258"/>
      <c r="T184" s="248" t="str">
        <f t="shared" si="22"/>
        <v/>
      </c>
      <c r="U184" s="249" t="str">
        <f t="shared" si="23"/>
        <v/>
      </c>
      <c r="V184" s="294" t="str">
        <f t="shared" si="19"/>
        <v/>
      </c>
      <c r="W184" s="294" t="str">
        <f>IF(((E184="")+(F184="")),"",IF(VLOOKUP(F184,Mannschaften!$A$1:$B$54,2,FALSE)&lt;&gt;E184,"Reiter Mannschaften füllen",""))</f>
        <v/>
      </c>
      <c r="X184" s="248" t="str">
        <f>IF(ISBLANK(C184),"",IF((U184&gt;(LOOKUP(E184,WKNrListe,Übersicht!$O$7:$O$46)))+(U184&lt;(LOOKUP(E184,WKNrListe,Übersicht!$P$7:$P$46))),"JG falsch",""))</f>
        <v/>
      </c>
      <c r="Y184" s="255" t="str">
        <f>IF((A184="")*(B184=""),"",IF(ISERROR(MATCH(E184,WKNrListe,0)),"WK falsch",LOOKUP(E184,WKNrListe,Übersicht!$B$7:$B$46)))</f>
        <v/>
      </c>
      <c r="Z184" s="269" t="str">
        <f>IF(((AJ184=0)*(AH184&lt;&gt;"")*(AK184="-"))+((AJ184&lt;&gt;0)*(AH184&lt;&gt;"")*(AK184="-")),IF(AG184="X",Übersicht!$C$70,Übersicht!$C$69),"-")</f>
        <v>-</v>
      </c>
      <c r="AA184" s="252" t="str">
        <f>IF((($A184="")*($B184=""))+((MID($Y184,1,4)&lt;&gt;"Wahl")*(Deckblatt!$C$14='WK-Vorlagen'!$C$82))+(Deckblatt!$C$14&lt;&gt;'WK-Vorlagen'!$C$82),"",IF(ISERROR(MATCH(VALUE(MID(G184,1,2)),Schwierigkeitsstufen!$G$7:$G$19,0)),"Gerät falsch",LOOKUP(VALUE(MID(G184,1,2)),Schwierigkeitsstufen!$G$7:$G$19,Schwierigkeitsstufen!$H$7:$H$19)))</f>
        <v/>
      </c>
      <c r="AB184" s="250" t="str">
        <f>IF((($A184="")*($B184=""))+((MID($Y184,1,4)&lt;&gt;"Wahl")*(Deckblatt!$C$14='WK-Vorlagen'!$C$82))+(Deckblatt!$C$14&lt;&gt;'WK-Vorlagen'!$C$82),"",IF(ISERROR(MATCH(VALUE(MID(H184,1,2)),Schwierigkeitsstufen!$G$7:$G$19,0)),"Gerät falsch",LOOKUP(VALUE(MID(H184,1,2)),Schwierigkeitsstufen!$G$7:$G$19,Schwierigkeitsstufen!$H$7:$H$19)))</f>
        <v/>
      </c>
      <c r="AC184" s="250" t="str">
        <f>IF((($A184="")*($B184=""))+((MID($Y184,1,4)&lt;&gt;"Wahl")*(Deckblatt!$C$14='WK-Vorlagen'!$C$82))+(Deckblatt!$C$14&lt;&gt;'WK-Vorlagen'!$C$82),"",IF(ISERROR(MATCH(VALUE(MID(I184,1,2)),Schwierigkeitsstufen!$G$7:$G$19,0)),"Gerät falsch",LOOKUP(VALUE(MID(I184,1,2)),Schwierigkeitsstufen!$G$7:$G$19,Schwierigkeitsstufen!$H$7:$H$19)))</f>
        <v/>
      </c>
      <c r="AD184" s="251" t="str">
        <f>IF((($A184="")*($B184=""))+((MID($Y184,1,4)&lt;&gt;"Wahl")*(Deckblatt!$C$14='WK-Vorlagen'!$C$82))+(Deckblatt!$C$14&lt;&gt;'WK-Vorlagen'!$C$82),"",IF(ISERROR(MATCH(VALUE(MID(J184,1,2)),Schwierigkeitsstufen!$G$7:$G$19,0)),"Gerät falsch",LOOKUP(VALUE(MID(J184,1,2)),Schwierigkeitsstufen!$G$7:$G$19,Schwierigkeitsstufen!$H$7:$H$19)))</f>
        <v/>
      </c>
      <c r="AE184" s="211"/>
      <c r="AG184" s="221" t="str">
        <f t="shared" si="18"/>
        <v/>
      </c>
      <c r="AH184" s="222" t="str">
        <f t="shared" si="20"/>
        <v/>
      </c>
      <c r="AI184" s="220">
        <f t="shared" si="25"/>
        <v>4</v>
      </c>
      <c r="AJ184" s="222">
        <f t="shared" si="21"/>
        <v>0</v>
      </c>
      <c r="AK184" s="299" t="str">
        <f>IF(ISERROR(LOOKUP(E184,WKNrListe,Übersicht!$R$7:$R$46)),"-",LOOKUP(E184,WKNrListe,Übersicht!$R$7:$R$46))</f>
        <v>-</v>
      </c>
      <c r="AL184" s="299" t="str">
        <f t="shared" si="24"/>
        <v>-</v>
      </c>
      <c r="AM184" s="303"/>
      <c r="AN184" s="174" t="str">
        <f t="shared" si="26"/>
        <v>Leer</v>
      </c>
    </row>
    <row r="185" spans="1:40" s="174" customFormat="1" ht="15" customHeight="1">
      <c r="A185" s="63"/>
      <c r="B185" s="63"/>
      <c r="C185" s="84"/>
      <c r="D185" s="85"/>
      <c r="E185" s="62"/>
      <c r="F185" s="62"/>
      <c r="G185" s="62"/>
      <c r="H185" s="62"/>
      <c r="I185" s="62"/>
      <c r="J185" s="62"/>
      <c r="K185" s="62"/>
      <c r="L185" s="62"/>
      <c r="M185" s="62"/>
      <c r="N185" s="62"/>
      <c r="O185" s="62"/>
      <c r="P185" s="62"/>
      <c r="Q185" s="62"/>
      <c r="R185" s="62"/>
      <c r="S185" s="258"/>
      <c r="T185" s="248" t="str">
        <f t="shared" si="22"/>
        <v/>
      </c>
      <c r="U185" s="249" t="str">
        <f t="shared" si="23"/>
        <v/>
      </c>
      <c r="V185" s="294" t="str">
        <f t="shared" si="19"/>
        <v/>
      </c>
      <c r="W185" s="294" t="str">
        <f>IF(((E185="")+(F185="")),"",IF(VLOOKUP(F185,Mannschaften!$A$1:$B$54,2,FALSE)&lt;&gt;E185,"Reiter Mannschaften füllen",""))</f>
        <v/>
      </c>
      <c r="X185" s="248" t="str">
        <f>IF(ISBLANK(C185),"",IF((U185&gt;(LOOKUP(E185,WKNrListe,Übersicht!$O$7:$O$46)))+(U185&lt;(LOOKUP(E185,WKNrListe,Übersicht!$P$7:$P$46))),"JG falsch",""))</f>
        <v/>
      </c>
      <c r="Y185" s="255" t="str">
        <f>IF((A185="")*(B185=""),"",IF(ISERROR(MATCH(E185,WKNrListe,0)),"WK falsch",LOOKUP(E185,WKNrListe,Übersicht!$B$7:$B$46)))</f>
        <v/>
      </c>
      <c r="Z185" s="269" t="str">
        <f>IF(((AJ185=0)*(AH185&lt;&gt;"")*(AK185="-"))+((AJ185&lt;&gt;0)*(AH185&lt;&gt;"")*(AK185="-")),IF(AG185="X",Übersicht!$C$70,Übersicht!$C$69),"-")</f>
        <v>-</v>
      </c>
      <c r="AA185" s="252" t="str">
        <f>IF((($A185="")*($B185=""))+((MID($Y185,1,4)&lt;&gt;"Wahl")*(Deckblatt!$C$14='WK-Vorlagen'!$C$82))+(Deckblatt!$C$14&lt;&gt;'WK-Vorlagen'!$C$82),"",IF(ISERROR(MATCH(VALUE(MID(G185,1,2)),Schwierigkeitsstufen!$G$7:$G$19,0)),"Gerät falsch",LOOKUP(VALUE(MID(G185,1,2)),Schwierigkeitsstufen!$G$7:$G$19,Schwierigkeitsstufen!$H$7:$H$19)))</f>
        <v/>
      </c>
      <c r="AB185" s="250" t="str">
        <f>IF((($A185="")*($B185=""))+((MID($Y185,1,4)&lt;&gt;"Wahl")*(Deckblatt!$C$14='WK-Vorlagen'!$C$82))+(Deckblatt!$C$14&lt;&gt;'WK-Vorlagen'!$C$82),"",IF(ISERROR(MATCH(VALUE(MID(H185,1,2)),Schwierigkeitsstufen!$G$7:$G$19,0)),"Gerät falsch",LOOKUP(VALUE(MID(H185,1,2)),Schwierigkeitsstufen!$G$7:$G$19,Schwierigkeitsstufen!$H$7:$H$19)))</f>
        <v/>
      </c>
      <c r="AC185" s="250" t="str">
        <f>IF((($A185="")*($B185=""))+((MID($Y185,1,4)&lt;&gt;"Wahl")*(Deckblatt!$C$14='WK-Vorlagen'!$C$82))+(Deckblatt!$C$14&lt;&gt;'WK-Vorlagen'!$C$82),"",IF(ISERROR(MATCH(VALUE(MID(I185,1,2)),Schwierigkeitsstufen!$G$7:$G$19,0)),"Gerät falsch",LOOKUP(VALUE(MID(I185,1,2)),Schwierigkeitsstufen!$G$7:$G$19,Schwierigkeitsstufen!$H$7:$H$19)))</f>
        <v/>
      </c>
      <c r="AD185" s="251" t="str">
        <f>IF((($A185="")*($B185=""))+((MID($Y185,1,4)&lt;&gt;"Wahl")*(Deckblatt!$C$14='WK-Vorlagen'!$C$82))+(Deckblatt!$C$14&lt;&gt;'WK-Vorlagen'!$C$82),"",IF(ISERROR(MATCH(VALUE(MID(J185,1,2)),Schwierigkeitsstufen!$G$7:$G$19,0)),"Gerät falsch",LOOKUP(VALUE(MID(J185,1,2)),Schwierigkeitsstufen!$G$7:$G$19,Schwierigkeitsstufen!$H$7:$H$19)))</f>
        <v/>
      </c>
      <c r="AE185" s="211"/>
      <c r="AG185" s="221" t="str">
        <f t="shared" si="18"/>
        <v/>
      </c>
      <c r="AH185" s="222" t="str">
        <f t="shared" si="20"/>
        <v/>
      </c>
      <c r="AI185" s="220">
        <f t="shared" si="25"/>
        <v>4</v>
      </c>
      <c r="AJ185" s="222">
        <f t="shared" si="21"/>
        <v>0</v>
      </c>
      <c r="AK185" s="299" t="str">
        <f>IF(ISERROR(LOOKUP(E185,WKNrListe,Übersicht!$R$7:$R$46)),"-",LOOKUP(E185,WKNrListe,Übersicht!$R$7:$R$46))</f>
        <v>-</v>
      </c>
      <c r="AL185" s="299" t="str">
        <f t="shared" si="24"/>
        <v>-</v>
      </c>
      <c r="AM185" s="303"/>
      <c r="AN185" s="174" t="str">
        <f t="shared" si="26"/>
        <v>Leer</v>
      </c>
    </row>
    <row r="186" spans="1:40" s="174" customFormat="1" ht="15" customHeight="1">
      <c r="A186" s="63"/>
      <c r="B186" s="63"/>
      <c r="C186" s="84"/>
      <c r="D186" s="85"/>
      <c r="E186" s="62"/>
      <c r="F186" s="62"/>
      <c r="G186" s="62"/>
      <c r="H186" s="62"/>
      <c r="I186" s="62"/>
      <c r="J186" s="62"/>
      <c r="K186" s="62"/>
      <c r="L186" s="62"/>
      <c r="M186" s="62"/>
      <c r="N186" s="62"/>
      <c r="O186" s="62"/>
      <c r="P186" s="62"/>
      <c r="Q186" s="62"/>
      <c r="R186" s="62"/>
      <c r="S186" s="258"/>
      <c r="T186" s="248" t="str">
        <f t="shared" si="22"/>
        <v/>
      </c>
      <c r="U186" s="249" t="str">
        <f t="shared" si="23"/>
        <v/>
      </c>
      <c r="V186" s="294" t="str">
        <f t="shared" si="19"/>
        <v/>
      </c>
      <c r="W186" s="294" t="str">
        <f>IF(((E186="")+(F186="")),"",IF(VLOOKUP(F186,Mannschaften!$A$1:$B$54,2,FALSE)&lt;&gt;E186,"Reiter Mannschaften füllen",""))</f>
        <v/>
      </c>
      <c r="X186" s="248" t="str">
        <f>IF(ISBLANK(C186),"",IF((U186&gt;(LOOKUP(E186,WKNrListe,Übersicht!$O$7:$O$46)))+(U186&lt;(LOOKUP(E186,WKNrListe,Übersicht!$P$7:$P$46))),"JG falsch",""))</f>
        <v/>
      </c>
      <c r="Y186" s="255" t="str">
        <f>IF((A186="")*(B186=""),"",IF(ISERROR(MATCH(E186,WKNrListe,0)),"WK falsch",LOOKUP(E186,WKNrListe,Übersicht!$B$7:$B$46)))</f>
        <v/>
      </c>
      <c r="Z186" s="269" t="str">
        <f>IF(((AJ186=0)*(AH186&lt;&gt;"")*(AK186="-"))+((AJ186&lt;&gt;0)*(AH186&lt;&gt;"")*(AK186="-")),IF(AG186="X",Übersicht!$C$70,Übersicht!$C$69),"-")</f>
        <v>-</v>
      </c>
      <c r="AA186" s="252" t="str">
        <f>IF((($A186="")*($B186=""))+((MID($Y186,1,4)&lt;&gt;"Wahl")*(Deckblatt!$C$14='WK-Vorlagen'!$C$82))+(Deckblatt!$C$14&lt;&gt;'WK-Vorlagen'!$C$82),"",IF(ISERROR(MATCH(VALUE(MID(G186,1,2)),Schwierigkeitsstufen!$G$7:$G$19,0)),"Gerät falsch",LOOKUP(VALUE(MID(G186,1,2)),Schwierigkeitsstufen!$G$7:$G$19,Schwierigkeitsstufen!$H$7:$H$19)))</f>
        <v/>
      </c>
      <c r="AB186" s="250" t="str">
        <f>IF((($A186="")*($B186=""))+((MID($Y186,1,4)&lt;&gt;"Wahl")*(Deckblatt!$C$14='WK-Vorlagen'!$C$82))+(Deckblatt!$C$14&lt;&gt;'WK-Vorlagen'!$C$82),"",IF(ISERROR(MATCH(VALUE(MID(H186,1,2)),Schwierigkeitsstufen!$G$7:$G$19,0)),"Gerät falsch",LOOKUP(VALUE(MID(H186,1,2)),Schwierigkeitsstufen!$G$7:$G$19,Schwierigkeitsstufen!$H$7:$H$19)))</f>
        <v/>
      </c>
      <c r="AC186" s="250" t="str">
        <f>IF((($A186="")*($B186=""))+((MID($Y186,1,4)&lt;&gt;"Wahl")*(Deckblatt!$C$14='WK-Vorlagen'!$C$82))+(Deckblatt!$C$14&lt;&gt;'WK-Vorlagen'!$C$82),"",IF(ISERROR(MATCH(VALUE(MID(I186,1,2)),Schwierigkeitsstufen!$G$7:$G$19,0)),"Gerät falsch",LOOKUP(VALUE(MID(I186,1,2)),Schwierigkeitsstufen!$G$7:$G$19,Schwierigkeitsstufen!$H$7:$H$19)))</f>
        <v/>
      </c>
      <c r="AD186" s="251" t="str">
        <f>IF((($A186="")*($B186=""))+((MID($Y186,1,4)&lt;&gt;"Wahl")*(Deckblatt!$C$14='WK-Vorlagen'!$C$82))+(Deckblatt!$C$14&lt;&gt;'WK-Vorlagen'!$C$82),"",IF(ISERROR(MATCH(VALUE(MID(J186,1,2)),Schwierigkeitsstufen!$G$7:$G$19,0)),"Gerät falsch",LOOKUP(VALUE(MID(J186,1,2)),Schwierigkeitsstufen!$G$7:$G$19,Schwierigkeitsstufen!$H$7:$H$19)))</f>
        <v/>
      </c>
      <c r="AE186" s="211"/>
      <c r="AG186" s="221" t="str">
        <f t="shared" si="18"/>
        <v/>
      </c>
      <c r="AH186" s="222" t="str">
        <f t="shared" si="20"/>
        <v/>
      </c>
      <c r="AI186" s="220">
        <f t="shared" si="25"/>
        <v>4</v>
      </c>
      <c r="AJ186" s="222">
        <f t="shared" si="21"/>
        <v>0</v>
      </c>
      <c r="AK186" s="299" t="str">
        <f>IF(ISERROR(LOOKUP(E186,WKNrListe,Übersicht!$R$7:$R$46)),"-",LOOKUP(E186,WKNrListe,Übersicht!$R$7:$R$46))</f>
        <v>-</v>
      </c>
      <c r="AL186" s="299" t="str">
        <f t="shared" si="24"/>
        <v>-</v>
      </c>
      <c r="AM186" s="303"/>
      <c r="AN186" s="174" t="str">
        <f t="shared" si="26"/>
        <v>Leer</v>
      </c>
    </row>
    <row r="187" spans="1:40" s="174" customFormat="1" ht="15" customHeight="1">
      <c r="A187" s="63"/>
      <c r="B187" s="63"/>
      <c r="C187" s="84"/>
      <c r="D187" s="85"/>
      <c r="E187" s="62"/>
      <c r="F187" s="62"/>
      <c r="G187" s="62"/>
      <c r="H187" s="62"/>
      <c r="I187" s="62"/>
      <c r="J187" s="62"/>
      <c r="K187" s="62"/>
      <c r="L187" s="62"/>
      <c r="M187" s="62"/>
      <c r="N187" s="62"/>
      <c r="O187" s="62"/>
      <c r="P187" s="62"/>
      <c r="Q187" s="62"/>
      <c r="R187" s="62"/>
      <c r="S187" s="258"/>
      <c r="T187" s="248" t="str">
        <f t="shared" si="22"/>
        <v/>
      </c>
      <c r="U187" s="249" t="str">
        <f t="shared" si="23"/>
        <v/>
      </c>
      <c r="V187" s="294" t="str">
        <f t="shared" si="19"/>
        <v/>
      </c>
      <c r="W187" s="294" t="str">
        <f>IF(((E187="")+(F187="")),"",IF(VLOOKUP(F187,Mannschaften!$A$1:$B$54,2,FALSE)&lt;&gt;E187,"Reiter Mannschaften füllen",""))</f>
        <v/>
      </c>
      <c r="X187" s="248" t="str">
        <f>IF(ISBLANK(C187),"",IF((U187&gt;(LOOKUP(E187,WKNrListe,Übersicht!$O$7:$O$46)))+(U187&lt;(LOOKUP(E187,WKNrListe,Übersicht!$P$7:$P$46))),"JG falsch",""))</f>
        <v/>
      </c>
      <c r="Y187" s="255" t="str">
        <f>IF((A187="")*(B187=""),"",IF(ISERROR(MATCH(E187,WKNrListe,0)),"WK falsch",LOOKUP(E187,WKNrListe,Übersicht!$B$7:$B$46)))</f>
        <v/>
      </c>
      <c r="Z187" s="269" t="str">
        <f>IF(((AJ187=0)*(AH187&lt;&gt;"")*(AK187="-"))+((AJ187&lt;&gt;0)*(AH187&lt;&gt;"")*(AK187="-")),IF(AG187="X",Übersicht!$C$70,Übersicht!$C$69),"-")</f>
        <v>-</v>
      </c>
      <c r="AA187" s="252" t="str">
        <f>IF((($A187="")*($B187=""))+((MID($Y187,1,4)&lt;&gt;"Wahl")*(Deckblatt!$C$14='WK-Vorlagen'!$C$82))+(Deckblatt!$C$14&lt;&gt;'WK-Vorlagen'!$C$82),"",IF(ISERROR(MATCH(VALUE(MID(G187,1,2)),Schwierigkeitsstufen!$G$7:$G$19,0)),"Gerät falsch",LOOKUP(VALUE(MID(G187,1,2)),Schwierigkeitsstufen!$G$7:$G$19,Schwierigkeitsstufen!$H$7:$H$19)))</f>
        <v/>
      </c>
      <c r="AB187" s="250" t="str">
        <f>IF((($A187="")*($B187=""))+((MID($Y187,1,4)&lt;&gt;"Wahl")*(Deckblatt!$C$14='WK-Vorlagen'!$C$82))+(Deckblatt!$C$14&lt;&gt;'WK-Vorlagen'!$C$82),"",IF(ISERROR(MATCH(VALUE(MID(H187,1,2)),Schwierigkeitsstufen!$G$7:$G$19,0)),"Gerät falsch",LOOKUP(VALUE(MID(H187,1,2)),Schwierigkeitsstufen!$G$7:$G$19,Schwierigkeitsstufen!$H$7:$H$19)))</f>
        <v/>
      </c>
      <c r="AC187" s="250" t="str">
        <f>IF((($A187="")*($B187=""))+((MID($Y187,1,4)&lt;&gt;"Wahl")*(Deckblatt!$C$14='WK-Vorlagen'!$C$82))+(Deckblatt!$C$14&lt;&gt;'WK-Vorlagen'!$C$82),"",IF(ISERROR(MATCH(VALUE(MID(I187,1,2)),Schwierigkeitsstufen!$G$7:$G$19,0)),"Gerät falsch",LOOKUP(VALUE(MID(I187,1,2)),Schwierigkeitsstufen!$G$7:$G$19,Schwierigkeitsstufen!$H$7:$H$19)))</f>
        <v/>
      </c>
      <c r="AD187" s="251" t="str">
        <f>IF((($A187="")*($B187=""))+((MID($Y187,1,4)&lt;&gt;"Wahl")*(Deckblatt!$C$14='WK-Vorlagen'!$C$82))+(Deckblatt!$C$14&lt;&gt;'WK-Vorlagen'!$C$82),"",IF(ISERROR(MATCH(VALUE(MID(J187,1,2)),Schwierigkeitsstufen!$G$7:$G$19,0)),"Gerät falsch",LOOKUP(VALUE(MID(J187,1,2)),Schwierigkeitsstufen!$G$7:$G$19,Schwierigkeitsstufen!$H$7:$H$19)))</f>
        <v/>
      </c>
      <c r="AE187" s="211"/>
      <c r="AG187" s="221" t="str">
        <f t="shared" si="18"/>
        <v/>
      </c>
      <c r="AH187" s="222" t="str">
        <f t="shared" si="20"/>
        <v/>
      </c>
      <c r="AI187" s="220">
        <f t="shared" si="25"/>
        <v>4</v>
      </c>
      <c r="AJ187" s="222">
        <f t="shared" si="21"/>
        <v>0</v>
      </c>
      <c r="AK187" s="299" t="str">
        <f>IF(ISERROR(LOOKUP(E187,WKNrListe,Übersicht!$R$7:$R$46)),"-",LOOKUP(E187,WKNrListe,Übersicht!$R$7:$R$46))</f>
        <v>-</v>
      </c>
      <c r="AL187" s="299" t="str">
        <f t="shared" si="24"/>
        <v>-</v>
      </c>
      <c r="AM187" s="303"/>
      <c r="AN187" s="174" t="str">
        <f t="shared" si="26"/>
        <v>Leer</v>
      </c>
    </row>
    <row r="188" spans="1:40" s="174" customFormat="1" ht="15" customHeight="1">
      <c r="A188" s="63"/>
      <c r="B188" s="63"/>
      <c r="C188" s="84"/>
      <c r="D188" s="85"/>
      <c r="E188" s="62"/>
      <c r="F188" s="62"/>
      <c r="G188" s="62"/>
      <c r="H188" s="62"/>
      <c r="I188" s="62"/>
      <c r="J188" s="62"/>
      <c r="K188" s="62"/>
      <c r="L188" s="62"/>
      <c r="M188" s="62"/>
      <c r="N188" s="62"/>
      <c r="O188" s="62"/>
      <c r="P188" s="62"/>
      <c r="Q188" s="62"/>
      <c r="R188" s="62"/>
      <c r="S188" s="258"/>
      <c r="T188" s="248" t="str">
        <f t="shared" si="22"/>
        <v/>
      </c>
      <c r="U188" s="249" t="str">
        <f t="shared" si="23"/>
        <v/>
      </c>
      <c r="V188" s="294" t="str">
        <f t="shared" si="19"/>
        <v/>
      </c>
      <c r="W188" s="294" t="str">
        <f>IF(((E188="")+(F188="")),"",IF(VLOOKUP(F188,Mannschaften!$A$1:$B$54,2,FALSE)&lt;&gt;E188,"Reiter Mannschaften füllen",""))</f>
        <v/>
      </c>
      <c r="X188" s="248" t="str">
        <f>IF(ISBLANK(C188),"",IF((U188&gt;(LOOKUP(E188,WKNrListe,Übersicht!$O$7:$O$46)))+(U188&lt;(LOOKUP(E188,WKNrListe,Übersicht!$P$7:$P$46))),"JG falsch",""))</f>
        <v/>
      </c>
      <c r="Y188" s="255" t="str">
        <f>IF((A188="")*(B188=""),"",IF(ISERROR(MATCH(E188,WKNrListe,0)),"WK falsch",LOOKUP(E188,WKNrListe,Übersicht!$B$7:$B$46)))</f>
        <v/>
      </c>
      <c r="Z188" s="269" t="str">
        <f>IF(((AJ188=0)*(AH188&lt;&gt;"")*(AK188="-"))+((AJ188&lt;&gt;0)*(AH188&lt;&gt;"")*(AK188="-")),IF(AG188="X",Übersicht!$C$70,Übersicht!$C$69),"-")</f>
        <v>-</v>
      </c>
      <c r="AA188" s="252" t="str">
        <f>IF((($A188="")*($B188=""))+((MID($Y188,1,4)&lt;&gt;"Wahl")*(Deckblatt!$C$14='WK-Vorlagen'!$C$82))+(Deckblatt!$C$14&lt;&gt;'WK-Vorlagen'!$C$82),"",IF(ISERROR(MATCH(VALUE(MID(G188,1,2)),Schwierigkeitsstufen!$G$7:$G$19,0)),"Gerät falsch",LOOKUP(VALUE(MID(G188,1,2)),Schwierigkeitsstufen!$G$7:$G$19,Schwierigkeitsstufen!$H$7:$H$19)))</f>
        <v/>
      </c>
      <c r="AB188" s="250" t="str">
        <f>IF((($A188="")*($B188=""))+((MID($Y188,1,4)&lt;&gt;"Wahl")*(Deckblatt!$C$14='WK-Vorlagen'!$C$82))+(Deckblatt!$C$14&lt;&gt;'WK-Vorlagen'!$C$82),"",IF(ISERROR(MATCH(VALUE(MID(H188,1,2)),Schwierigkeitsstufen!$G$7:$G$19,0)),"Gerät falsch",LOOKUP(VALUE(MID(H188,1,2)),Schwierigkeitsstufen!$G$7:$G$19,Schwierigkeitsstufen!$H$7:$H$19)))</f>
        <v/>
      </c>
      <c r="AC188" s="250" t="str">
        <f>IF((($A188="")*($B188=""))+((MID($Y188,1,4)&lt;&gt;"Wahl")*(Deckblatt!$C$14='WK-Vorlagen'!$C$82))+(Deckblatt!$C$14&lt;&gt;'WK-Vorlagen'!$C$82),"",IF(ISERROR(MATCH(VALUE(MID(I188,1,2)),Schwierigkeitsstufen!$G$7:$G$19,0)),"Gerät falsch",LOOKUP(VALUE(MID(I188,1,2)),Schwierigkeitsstufen!$G$7:$G$19,Schwierigkeitsstufen!$H$7:$H$19)))</f>
        <v/>
      </c>
      <c r="AD188" s="251" t="str">
        <f>IF((($A188="")*($B188=""))+((MID($Y188,1,4)&lt;&gt;"Wahl")*(Deckblatt!$C$14='WK-Vorlagen'!$C$82))+(Deckblatt!$C$14&lt;&gt;'WK-Vorlagen'!$C$82),"",IF(ISERROR(MATCH(VALUE(MID(J188,1,2)),Schwierigkeitsstufen!$G$7:$G$19,0)),"Gerät falsch",LOOKUP(VALUE(MID(J188,1,2)),Schwierigkeitsstufen!$G$7:$G$19,Schwierigkeitsstufen!$H$7:$H$19)))</f>
        <v/>
      </c>
      <c r="AE188" s="211"/>
      <c r="AG188" s="221" t="str">
        <f t="shared" si="18"/>
        <v/>
      </c>
      <c r="AH188" s="222" t="str">
        <f t="shared" si="20"/>
        <v/>
      </c>
      <c r="AI188" s="220">
        <f t="shared" si="25"/>
        <v>4</v>
      </c>
      <c r="AJ188" s="222">
        <f t="shared" si="21"/>
        <v>0</v>
      </c>
      <c r="AK188" s="299" t="str">
        <f>IF(ISERROR(LOOKUP(E188,WKNrListe,Übersicht!$R$7:$R$46)),"-",LOOKUP(E188,WKNrListe,Übersicht!$R$7:$R$46))</f>
        <v>-</v>
      </c>
      <c r="AL188" s="299" t="str">
        <f t="shared" si="24"/>
        <v>-</v>
      </c>
      <c r="AM188" s="303"/>
      <c r="AN188" s="174" t="str">
        <f t="shared" si="26"/>
        <v>Leer</v>
      </c>
    </row>
    <row r="189" spans="1:40" s="174" customFormat="1" ht="15" customHeight="1">
      <c r="A189" s="63"/>
      <c r="B189" s="63"/>
      <c r="C189" s="84"/>
      <c r="D189" s="85"/>
      <c r="E189" s="62"/>
      <c r="F189" s="62"/>
      <c r="G189" s="62"/>
      <c r="H189" s="62"/>
      <c r="I189" s="62"/>
      <c r="J189" s="62"/>
      <c r="K189" s="62"/>
      <c r="L189" s="62"/>
      <c r="M189" s="62"/>
      <c r="N189" s="62"/>
      <c r="O189" s="62"/>
      <c r="P189" s="62"/>
      <c r="Q189" s="62"/>
      <c r="R189" s="62"/>
      <c r="S189" s="258"/>
      <c r="T189" s="248" t="str">
        <f t="shared" si="22"/>
        <v/>
      </c>
      <c r="U189" s="249" t="str">
        <f t="shared" si="23"/>
        <v/>
      </c>
      <c r="V189" s="294" t="str">
        <f t="shared" si="19"/>
        <v/>
      </c>
      <c r="W189" s="294" t="str">
        <f>IF(((E189="")+(F189="")),"",IF(VLOOKUP(F189,Mannschaften!$A$1:$B$54,2,FALSE)&lt;&gt;E189,"Reiter Mannschaften füllen",""))</f>
        <v/>
      </c>
      <c r="X189" s="248" t="str">
        <f>IF(ISBLANK(C189),"",IF((U189&gt;(LOOKUP(E189,WKNrListe,Übersicht!$O$7:$O$46)))+(U189&lt;(LOOKUP(E189,WKNrListe,Übersicht!$P$7:$P$46))),"JG falsch",""))</f>
        <v/>
      </c>
      <c r="Y189" s="255" t="str">
        <f>IF((A189="")*(B189=""),"",IF(ISERROR(MATCH(E189,WKNrListe,0)),"WK falsch",LOOKUP(E189,WKNrListe,Übersicht!$B$7:$B$46)))</f>
        <v/>
      </c>
      <c r="Z189" s="269" t="str">
        <f>IF(((AJ189=0)*(AH189&lt;&gt;"")*(AK189="-"))+((AJ189&lt;&gt;0)*(AH189&lt;&gt;"")*(AK189="-")),IF(AG189="X",Übersicht!$C$70,Übersicht!$C$69),"-")</f>
        <v>-</v>
      </c>
      <c r="AA189" s="252" t="str">
        <f>IF((($A189="")*($B189=""))+((MID($Y189,1,4)&lt;&gt;"Wahl")*(Deckblatt!$C$14='WK-Vorlagen'!$C$82))+(Deckblatt!$C$14&lt;&gt;'WK-Vorlagen'!$C$82),"",IF(ISERROR(MATCH(VALUE(MID(G189,1,2)),Schwierigkeitsstufen!$G$7:$G$19,0)),"Gerät falsch",LOOKUP(VALUE(MID(G189,1,2)),Schwierigkeitsstufen!$G$7:$G$19,Schwierigkeitsstufen!$H$7:$H$19)))</f>
        <v/>
      </c>
      <c r="AB189" s="250" t="str">
        <f>IF((($A189="")*($B189=""))+((MID($Y189,1,4)&lt;&gt;"Wahl")*(Deckblatt!$C$14='WK-Vorlagen'!$C$82))+(Deckblatt!$C$14&lt;&gt;'WK-Vorlagen'!$C$82),"",IF(ISERROR(MATCH(VALUE(MID(H189,1,2)),Schwierigkeitsstufen!$G$7:$G$19,0)),"Gerät falsch",LOOKUP(VALUE(MID(H189,1,2)),Schwierigkeitsstufen!$G$7:$G$19,Schwierigkeitsstufen!$H$7:$H$19)))</f>
        <v/>
      </c>
      <c r="AC189" s="250" t="str">
        <f>IF((($A189="")*($B189=""))+((MID($Y189,1,4)&lt;&gt;"Wahl")*(Deckblatt!$C$14='WK-Vorlagen'!$C$82))+(Deckblatt!$C$14&lt;&gt;'WK-Vorlagen'!$C$82),"",IF(ISERROR(MATCH(VALUE(MID(I189,1,2)),Schwierigkeitsstufen!$G$7:$G$19,0)),"Gerät falsch",LOOKUP(VALUE(MID(I189,1,2)),Schwierigkeitsstufen!$G$7:$G$19,Schwierigkeitsstufen!$H$7:$H$19)))</f>
        <v/>
      </c>
      <c r="AD189" s="251" t="str">
        <f>IF((($A189="")*($B189=""))+((MID($Y189,1,4)&lt;&gt;"Wahl")*(Deckblatt!$C$14='WK-Vorlagen'!$C$82))+(Deckblatt!$C$14&lt;&gt;'WK-Vorlagen'!$C$82),"",IF(ISERROR(MATCH(VALUE(MID(J189,1,2)),Schwierigkeitsstufen!$G$7:$G$19,0)),"Gerät falsch",LOOKUP(VALUE(MID(J189,1,2)),Schwierigkeitsstufen!$G$7:$G$19,Schwierigkeitsstufen!$H$7:$H$19)))</f>
        <v/>
      </c>
      <c r="AE189" s="211"/>
      <c r="AG189" s="221" t="str">
        <f t="shared" si="18"/>
        <v/>
      </c>
      <c r="AH189" s="222" t="str">
        <f t="shared" si="20"/>
        <v/>
      </c>
      <c r="AI189" s="220">
        <f t="shared" si="25"/>
        <v>4</v>
      </c>
      <c r="AJ189" s="222">
        <f t="shared" si="21"/>
        <v>0</v>
      </c>
      <c r="AK189" s="299" t="str">
        <f>IF(ISERROR(LOOKUP(E189,WKNrListe,Übersicht!$R$7:$R$46)),"-",LOOKUP(E189,WKNrListe,Übersicht!$R$7:$R$46))</f>
        <v>-</v>
      </c>
      <c r="AL189" s="299" t="str">
        <f t="shared" si="24"/>
        <v>-</v>
      </c>
      <c r="AM189" s="303"/>
      <c r="AN189" s="174" t="str">
        <f t="shared" si="26"/>
        <v>Leer</v>
      </c>
    </row>
    <row r="190" spans="1:40" s="174" customFormat="1" ht="15" customHeight="1">
      <c r="A190" s="63"/>
      <c r="B190" s="63"/>
      <c r="C190" s="84"/>
      <c r="D190" s="85"/>
      <c r="E190" s="62"/>
      <c r="F190" s="62"/>
      <c r="G190" s="62"/>
      <c r="H190" s="62"/>
      <c r="I190" s="62"/>
      <c r="J190" s="62"/>
      <c r="K190" s="62"/>
      <c r="L190" s="62"/>
      <c r="M190" s="62"/>
      <c r="N190" s="62"/>
      <c r="O190" s="62"/>
      <c r="P190" s="62"/>
      <c r="Q190" s="62"/>
      <c r="R190" s="62"/>
      <c r="S190" s="258"/>
      <c r="T190" s="248" t="str">
        <f t="shared" si="22"/>
        <v/>
      </c>
      <c r="U190" s="249" t="str">
        <f t="shared" si="23"/>
        <v/>
      </c>
      <c r="V190" s="294" t="str">
        <f t="shared" si="19"/>
        <v/>
      </c>
      <c r="W190" s="294" t="str">
        <f>IF(((E190="")+(F190="")),"",IF(VLOOKUP(F190,Mannschaften!$A$1:$B$54,2,FALSE)&lt;&gt;E190,"Reiter Mannschaften füllen",""))</f>
        <v/>
      </c>
      <c r="X190" s="248" t="str">
        <f>IF(ISBLANK(C190),"",IF((U190&gt;(LOOKUP(E190,WKNrListe,Übersicht!$O$7:$O$46)))+(U190&lt;(LOOKUP(E190,WKNrListe,Übersicht!$P$7:$P$46))),"JG falsch",""))</f>
        <v/>
      </c>
      <c r="Y190" s="255" t="str">
        <f>IF((A190="")*(B190=""),"",IF(ISERROR(MATCH(E190,WKNrListe,0)),"WK falsch",LOOKUP(E190,WKNrListe,Übersicht!$B$7:$B$46)))</f>
        <v/>
      </c>
      <c r="Z190" s="269" t="str">
        <f>IF(((AJ190=0)*(AH190&lt;&gt;"")*(AK190="-"))+((AJ190&lt;&gt;0)*(AH190&lt;&gt;"")*(AK190="-")),IF(AG190="X",Übersicht!$C$70,Übersicht!$C$69),"-")</f>
        <v>-</v>
      </c>
      <c r="AA190" s="252" t="str">
        <f>IF((($A190="")*($B190=""))+((MID($Y190,1,4)&lt;&gt;"Wahl")*(Deckblatt!$C$14='WK-Vorlagen'!$C$82))+(Deckblatt!$C$14&lt;&gt;'WK-Vorlagen'!$C$82),"",IF(ISERROR(MATCH(VALUE(MID(G190,1,2)),Schwierigkeitsstufen!$G$7:$G$19,0)),"Gerät falsch",LOOKUP(VALUE(MID(G190,1,2)),Schwierigkeitsstufen!$G$7:$G$19,Schwierigkeitsstufen!$H$7:$H$19)))</f>
        <v/>
      </c>
      <c r="AB190" s="250" t="str">
        <f>IF((($A190="")*($B190=""))+((MID($Y190,1,4)&lt;&gt;"Wahl")*(Deckblatt!$C$14='WK-Vorlagen'!$C$82))+(Deckblatt!$C$14&lt;&gt;'WK-Vorlagen'!$C$82),"",IF(ISERROR(MATCH(VALUE(MID(H190,1,2)),Schwierigkeitsstufen!$G$7:$G$19,0)),"Gerät falsch",LOOKUP(VALUE(MID(H190,1,2)),Schwierigkeitsstufen!$G$7:$G$19,Schwierigkeitsstufen!$H$7:$H$19)))</f>
        <v/>
      </c>
      <c r="AC190" s="250" t="str">
        <f>IF((($A190="")*($B190=""))+((MID($Y190,1,4)&lt;&gt;"Wahl")*(Deckblatt!$C$14='WK-Vorlagen'!$C$82))+(Deckblatt!$C$14&lt;&gt;'WK-Vorlagen'!$C$82),"",IF(ISERROR(MATCH(VALUE(MID(I190,1,2)),Schwierigkeitsstufen!$G$7:$G$19,0)),"Gerät falsch",LOOKUP(VALUE(MID(I190,1,2)),Schwierigkeitsstufen!$G$7:$G$19,Schwierigkeitsstufen!$H$7:$H$19)))</f>
        <v/>
      </c>
      <c r="AD190" s="251" t="str">
        <f>IF((($A190="")*($B190=""))+((MID($Y190,1,4)&lt;&gt;"Wahl")*(Deckblatt!$C$14='WK-Vorlagen'!$C$82))+(Deckblatt!$C$14&lt;&gt;'WK-Vorlagen'!$C$82),"",IF(ISERROR(MATCH(VALUE(MID(J190,1,2)),Schwierigkeitsstufen!$G$7:$G$19,0)),"Gerät falsch",LOOKUP(VALUE(MID(J190,1,2)),Schwierigkeitsstufen!$G$7:$G$19,Schwierigkeitsstufen!$H$7:$H$19)))</f>
        <v/>
      </c>
      <c r="AE190" s="211"/>
      <c r="AG190" s="221" t="str">
        <f t="shared" si="18"/>
        <v/>
      </c>
      <c r="AH190" s="222" t="str">
        <f t="shared" si="20"/>
        <v/>
      </c>
      <c r="AI190" s="220">
        <f t="shared" si="25"/>
        <v>4</v>
      </c>
      <c r="AJ190" s="222">
        <f t="shared" si="21"/>
        <v>0</v>
      </c>
      <c r="AK190" s="299" t="str">
        <f>IF(ISERROR(LOOKUP(E190,WKNrListe,Übersicht!$R$7:$R$46)),"-",LOOKUP(E190,WKNrListe,Übersicht!$R$7:$R$46))</f>
        <v>-</v>
      </c>
      <c r="AL190" s="299" t="str">
        <f t="shared" si="24"/>
        <v>-</v>
      </c>
      <c r="AM190" s="303"/>
      <c r="AN190" s="174" t="str">
        <f t="shared" si="26"/>
        <v>Leer</v>
      </c>
    </row>
    <row r="191" spans="1:40" s="174" customFormat="1" ht="15" customHeight="1">
      <c r="A191" s="63"/>
      <c r="B191" s="63"/>
      <c r="C191" s="84"/>
      <c r="D191" s="85"/>
      <c r="E191" s="62"/>
      <c r="F191" s="62"/>
      <c r="G191" s="62"/>
      <c r="H191" s="62"/>
      <c r="I191" s="62"/>
      <c r="J191" s="62"/>
      <c r="K191" s="62"/>
      <c r="L191" s="62"/>
      <c r="M191" s="62"/>
      <c r="N191" s="62"/>
      <c r="O191" s="62"/>
      <c r="P191" s="62"/>
      <c r="Q191" s="62"/>
      <c r="R191" s="62"/>
      <c r="S191" s="258"/>
      <c r="T191" s="248" t="str">
        <f t="shared" si="22"/>
        <v/>
      </c>
      <c r="U191" s="249" t="str">
        <f t="shared" si="23"/>
        <v/>
      </c>
      <c r="V191" s="294" t="str">
        <f t="shared" si="19"/>
        <v/>
      </c>
      <c r="W191" s="294" t="str">
        <f>IF(((E191="")+(F191="")),"",IF(VLOOKUP(F191,Mannschaften!$A$1:$B$54,2,FALSE)&lt;&gt;E191,"Reiter Mannschaften füllen",""))</f>
        <v/>
      </c>
      <c r="X191" s="248" t="str">
        <f>IF(ISBLANK(C191),"",IF((U191&gt;(LOOKUP(E191,WKNrListe,Übersicht!$O$7:$O$46)))+(U191&lt;(LOOKUP(E191,WKNrListe,Übersicht!$P$7:$P$46))),"JG falsch",""))</f>
        <v/>
      </c>
      <c r="Y191" s="255" t="str">
        <f>IF((A191="")*(B191=""),"",IF(ISERROR(MATCH(E191,WKNrListe,0)),"WK falsch",LOOKUP(E191,WKNrListe,Übersicht!$B$7:$B$46)))</f>
        <v/>
      </c>
      <c r="Z191" s="269" t="str">
        <f>IF(((AJ191=0)*(AH191&lt;&gt;"")*(AK191="-"))+((AJ191&lt;&gt;0)*(AH191&lt;&gt;"")*(AK191="-")),IF(AG191="X",Übersicht!$C$70,Übersicht!$C$69),"-")</f>
        <v>-</v>
      </c>
      <c r="AA191" s="252" t="str">
        <f>IF((($A191="")*($B191=""))+((MID($Y191,1,4)&lt;&gt;"Wahl")*(Deckblatt!$C$14='WK-Vorlagen'!$C$82))+(Deckblatt!$C$14&lt;&gt;'WK-Vorlagen'!$C$82),"",IF(ISERROR(MATCH(VALUE(MID(G191,1,2)),Schwierigkeitsstufen!$G$7:$G$19,0)),"Gerät falsch",LOOKUP(VALUE(MID(G191,1,2)),Schwierigkeitsstufen!$G$7:$G$19,Schwierigkeitsstufen!$H$7:$H$19)))</f>
        <v/>
      </c>
      <c r="AB191" s="250" t="str">
        <f>IF((($A191="")*($B191=""))+((MID($Y191,1,4)&lt;&gt;"Wahl")*(Deckblatt!$C$14='WK-Vorlagen'!$C$82))+(Deckblatt!$C$14&lt;&gt;'WK-Vorlagen'!$C$82),"",IF(ISERROR(MATCH(VALUE(MID(H191,1,2)),Schwierigkeitsstufen!$G$7:$G$19,0)),"Gerät falsch",LOOKUP(VALUE(MID(H191,1,2)),Schwierigkeitsstufen!$G$7:$G$19,Schwierigkeitsstufen!$H$7:$H$19)))</f>
        <v/>
      </c>
      <c r="AC191" s="250" t="str">
        <f>IF((($A191="")*($B191=""))+((MID($Y191,1,4)&lt;&gt;"Wahl")*(Deckblatt!$C$14='WK-Vorlagen'!$C$82))+(Deckblatt!$C$14&lt;&gt;'WK-Vorlagen'!$C$82),"",IF(ISERROR(MATCH(VALUE(MID(I191,1,2)),Schwierigkeitsstufen!$G$7:$G$19,0)),"Gerät falsch",LOOKUP(VALUE(MID(I191,1,2)),Schwierigkeitsstufen!$G$7:$G$19,Schwierigkeitsstufen!$H$7:$H$19)))</f>
        <v/>
      </c>
      <c r="AD191" s="251" t="str">
        <f>IF((($A191="")*($B191=""))+((MID($Y191,1,4)&lt;&gt;"Wahl")*(Deckblatt!$C$14='WK-Vorlagen'!$C$82))+(Deckblatt!$C$14&lt;&gt;'WK-Vorlagen'!$C$82),"",IF(ISERROR(MATCH(VALUE(MID(J191,1,2)),Schwierigkeitsstufen!$G$7:$G$19,0)),"Gerät falsch",LOOKUP(VALUE(MID(J191,1,2)),Schwierigkeitsstufen!$G$7:$G$19,Schwierigkeitsstufen!$H$7:$H$19)))</f>
        <v/>
      </c>
      <c r="AE191" s="211"/>
      <c r="AG191" s="221" t="str">
        <f t="shared" si="18"/>
        <v/>
      </c>
      <c r="AH191" s="222" t="str">
        <f t="shared" si="20"/>
        <v/>
      </c>
      <c r="AI191" s="220">
        <f t="shared" si="25"/>
        <v>4</v>
      </c>
      <c r="AJ191" s="222">
        <f t="shared" si="21"/>
        <v>0</v>
      </c>
      <c r="AK191" s="299" t="str">
        <f>IF(ISERROR(LOOKUP(E191,WKNrListe,Übersicht!$R$7:$R$46)),"-",LOOKUP(E191,WKNrListe,Übersicht!$R$7:$R$46))</f>
        <v>-</v>
      </c>
      <c r="AL191" s="299" t="str">
        <f t="shared" si="24"/>
        <v>-</v>
      </c>
      <c r="AM191" s="303"/>
      <c r="AN191" s="174" t="str">
        <f t="shared" si="26"/>
        <v>Leer</v>
      </c>
    </row>
    <row r="192" spans="1:40" s="174" customFormat="1" ht="15" customHeight="1">
      <c r="A192" s="63"/>
      <c r="B192" s="63"/>
      <c r="C192" s="84"/>
      <c r="D192" s="85"/>
      <c r="E192" s="62"/>
      <c r="F192" s="62"/>
      <c r="G192" s="62"/>
      <c r="H192" s="62"/>
      <c r="I192" s="62"/>
      <c r="J192" s="62"/>
      <c r="K192" s="62"/>
      <c r="L192" s="62"/>
      <c r="M192" s="62"/>
      <c r="N192" s="62"/>
      <c r="O192" s="62"/>
      <c r="P192" s="62"/>
      <c r="Q192" s="62"/>
      <c r="R192" s="62"/>
      <c r="S192" s="258"/>
      <c r="T192" s="248" t="str">
        <f t="shared" si="22"/>
        <v/>
      </c>
      <c r="U192" s="249" t="str">
        <f t="shared" si="23"/>
        <v/>
      </c>
      <c r="V192" s="294" t="str">
        <f t="shared" si="19"/>
        <v/>
      </c>
      <c r="W192" s="294" t="str">
        <f>IF(((E192="")+(F192="")),"",IF(VLOOKUP(F192,Mannschaften!$A$1:$B$54,2,FALSE)&lt;&gt;E192,"Reiter Mannschaften füllen",""))</f>
        <v/>
      </c>
      <c r="X192" s="248" t="str">
        <f>IF(ISBLANK(C192),"",IF((U192&gt;(LOOKUP(E192,WKNrListe,Übersicht!$O$7:$O$46)))+(U192&lt;(LOOKUP(E192,WKNrListe,Übersicht!$P$7:$P$46))),"JG falsch",""))</f>
        <v/>
      </c>
      <c r="Y192" s="255" t="str">
        <f>IF((A192="")*(B192=""),"",IF(ISERROR(MATCH(E192,WKNrListe,0)),"WK falsch",LOOKUP(E192,WKNrListe,Übersicht!$B$7:$B$46)))</f>
        <v/>
      </c>
      <c r="Z192" s="269" t="str">
        <f>IF(((AJ192=0)*(AH192&lt;&gt;"")*(AK192="-"))+((AJ192&lt;&gt;0)*(AH192&lt;&gt;"")*(AK192="-")),IF(AG192="X",Übersicht!$C$70,Übersicht!$C$69),"-")</f>
        <v>-</v>
      </c>
      <c r="AA192" s="252" t="str">
        <f>IF((($A192="")*($B192=""))+((MID($Y192,1,4)&lt;&gt;"Wahl")*(Deckblatt!$C$14='WK-Vorlagen'!$C$82))+(Deckblatt!$C$14&lt;&gt;'WK-Vorlagen'!$C$82),"",IF(ISERROR(MATCH(VALUE(MID(G192,1,2)),Schwierigkeitsstufen!$G$7:$G$19,0)),"Gerät falsch",LOOKUP(VALUE(MID(G192,1,2)),Schwierigkeitsstufen!$G$7:$G$19,Schwierigkeitsstufen!$H$7:$H$19)))</f>
        <v/>
      </c>
      <c r="AB192" s="250" t="str">
        <f>IF((($A192="")*($B192=""))+((MID($Y192,1,4)&lt;&gt;"Wahl")*(Deckblatt!$C$14='WK-Vorlagen'!$C$82))+(Deckblatt!$C$14&lt;&gt;'WK-Vorlagen'!$C$82),"",IF(ISERROR(MATCH(VALUE(MID(H192,1,2)),Schwierigkeitsstufen!$G$7:$G$19,0)),"Gerät falsch",LOOKUP(VALUE(MID(H192,1,2)),Schwierigkeitsstufen!$G$7:$G$19,Schwierigkeitsstufen!$H$7:$H$19)))</f>
        <v/>
      </c>
      <c r="AC192" s="250" t="str">
        <f>IF((($A192="")*($B192=""))+((MID($Y192,1,4)&lt;&gt;"Wahl")*(Deckblatt!$C$14='WK-Vorlagen'!$C$82))+(Deckblatt!$C$14&lt;&gt;'WK-Vorlagen'!$C$82),"",IF(ISERROR(MATCH(VALUE(MID(I192,1,2)),Schwierigkeitsstufen!$G$7:$G$19,0)),"Gerät falsch",LOOKUP(VALUE(MID(I192,1,2)),Schwierigkeitsstufen!$G$7:$G$19,Schwierigkeitsstufen!$H$7:$H$19)))</f>
        <v/>
      </c>
      <c r="AD192" s="251" t="str">
        <f>IF((($A192="")*($B192=""))+((MID($Y192,1,4)&lt;&gt;"Wahl")*(Deckblatt!$C$14='WK-Vorlagen'!$C$82))+(Deckblatt!$C$14&lt;&gt;'WK-Vorlagen'!$C$82),"",IF(ISERROR(MATCH(VALUE(MID(J192,1,2)),Schwierigkeitsstufen!$G$7:$G$19,0)),"Gerät falsch",LOOKUP(VALUE(MID(J192,1,2)),Schwierigkeitsstufen!$G$7:$G$19,Schwierigkeitsstufen!$H$7:$H$19)))</f>
        <v/>
      </c>
      <c r="AE192" s="211"/>
      <c r="AG192" s="221" t="str">
        <f t="shared" si="18"/>
        <v/>
      </c>
      <c r="AH192" s="222" t="str">
        <f t="shared" si="20"/>
        <v/>
      </c>
      <c r="AI192" s="220">
        <f t="shared" si="25"/>
        <v>4</v>
      </c>
      <c r="AJ192" s="222">
        <f t="shared" si="21"/>
        <v>0</v>
      </c>
      <c r="AK192" s="299" t="str">
        <f>IF(ISERROR(LOOKUP(E192,WKNrListe,Übersicht!$R$7:$R$46)),"-",LOOKUP(E192,WKNrListe,Übersicht!$R$7:$R$46))</f>
        <v>-</v>
      </c>
      <c r="AL192" s="299" t="str">
        <f t="shared" si="24"/>
        <v>-</v>
      </c>
      <c r="AM192" s="303"/>
      <c r="AN192" s="174" t="str">
        <f t="shared" si="26"/>
        <v>Leer</v>
      </c>
    </row>
    <row r="193" spans="1:40" s="174" customFormat="1" ht="15" customHeight="1">
      <c r="A193" s="63"/>
      <c r="B193" s="63"/>
      <c r="C193" s="84"/>
      <c r="D193" s="85"/>
      <c r="E193" s="62"/>
      <c r="F193" s="62"/>
      <c r="G193" s="62"/>
      <c r="H193" s="62"/>
      <c r="I193" s="62"/>
      <c r="J193" s="62"/>
      <c r="K193" s="62"/>
      <c r="L193" s="62"/>
      <c r="M193" s="62"/>
      <c r="N193" s="62"/>
      <c r="O193" s="62"/>
      <c r="P193" s="62"/>
      <c r="Q193" s="62"/>
      <c r="R193" s="62"/>
      <c r="S193" s="258"/>
      <c r="T193" s="248" t="str">
        <f t="shared" si="22"/>
        <v/>
      </c>
      <c r="U193" s="249" t="str">
        <f t="shared" si="23"/>
        <v/>
      </c>
      <c r="V193" s="294" t="str">
        <f t="shared" si="19"/>
        <v/>
      </c>
      <c r="W193" s="294" t="str">
        <f>IF(((E193="")+(F193="")),"",IF(VLOOKUP(F193,Mannschaften!$A$1:$B$54,2,FALSE)&lt;&gt;E193,"Reiter Mannschaften füllen",""))</f>
        <v/>
      </c>
      <c r="X193" s="248" t="str">
        <f>IF(ISBLANK(C193),"",IF((U193&gt;(LOOKUP(E193,WKNrListe,Übersicht!$O$7:$O$46)))+(U193&lt;(LOOKUP(E193,WKNrListe,Übersicht!$P$7:$P$46))),"JG falsch",""))</f>
        <v/>
      </c>
      <c r="Y193" s="255" t="str">
        <f>IF((A193="")*(B193=""),"",IF(ISERROR(MATCH(E193,WKNrListe,0)),"WK falsch",LOOKUP(E193,WKNrListe,Übersicht!$B$7:$B$46)))</f>
        <v/>
      </c>
      <c r="Z193" s="269" t="str">
        <f>IF(((AJ193=0)*(AH193&lt;&gt;"")*(AK193="-"))+((AJ193&lt;&gt;0)*(AH193&lt;&gt;"")*(AK193="-")),IF(AG193="X",Übersicht!$C$70,Übersicht!$C$69),"-")</f>
        <v>-</v>
      </c>
      <c r="AA193" s="252" t="str">
        <f>IF((($A193="")*($B193=""))+((MID($Y193,1,4)&lt;&gt;"Wahl")*(Deckblatt!$C$14='WK-Vorlagen'!$C$82))+(Deckblatt!$C$14&lt;&gt;'WK-Vorlagen'!$C$82),"",IF(ISERROR(MATCH(VALUE(MID(G193,1,2)),Schwierigkeitsstufen!$G$7:$G$19,0)),"Gerät falsch",LOOKUP(VALUE(MID(G193,1,2)),Schwierigkeitsstufen!$G$7:$G$19,Schwierigkeitsstufen!$H$7:$H$19)))</f>
        <v/>
      </c>
      <c r="AB193" s="250" t="str">
        <f>IF((($A193="")*($B193=""))+((MID($Y193,1,4)&lt;&gt;"Wahl")*(Deckblatt!$C$14='WK-Vorlagen'!$C$82))+(Deckblatt!$C$14&lt;&gt;'WK-Vorlagen'!$C$82),"",IF(ISERROR(MATCH(VALUE(MID(H193,1,2)),Schwierigkeitsstufen!$G$7:$G$19,0)),"Gerät falsch",LOOKUP(VALUE(MID(H193,1,2)),Schwierigkeitsstufen!$G$7:$G$19,Schwierigkeitsstufen!$H$7:$H$19)))</f>
        <v/>
      </c>
      <c r="AC193" s="250" t="str">
        <f>IF((($A193="")*($B193=""))+((MID($Y193,1,4)&lt;&gt;"Wahl")*(Deckblatt!$C$14='WK-Vorlagen'!$C$82))+(Deckblatt!$C$14&lt;&gt;'WK-Vorlagen'!$C$82),"",IF(ISERROR(MATCH(VALUE(MID(I193,1,2)),Schwierigkeitsstufen!$G$7:$G$19,0)),"Gerät falsch",LOOKUP(VALUE(MID(I193,1,2)),Schwierigkeitsstufen!$G$7:$G$19,Schwierigkeitsstufen!$H$7:$H$19)))</f>
        <v/>
      </c>
      <c r="AD193" s="251" t="str">
        <f>IF((($A193="")*($B193=""))+((MID($Y193,1,4)&lt;&gt;"Wahl")*(Deckblatt!$C$14='WK-Vorlagen'!$C$82))+(Deckblatt!$C$14&lt;&gt;'WK-Vorlagen'!$C$82),"",IF(ISERROR(MATCH(VALUE(MID(J193,1,2)),Schwierigkeitsstufen!$G$7:$G$19,0)),"Gerät falsch",LOOKUP(VALUE(MID(J193,1,2)),Schwierigkeitsstufen!$G$7:$G$19,Schwierigkeitsstufen!$H$7:$H$19)))</f>
        <v/>
      </c>
      <c r="AE193" s="211"/>
      <c r="AG193" s="221" t="str">
        <f t="shared" si="18"/>
        <v/>
      </c>
      <c r="AH193" s="222" t="str">
        <f t="shared" si="20"/>
        <v/>
      </c>
      <c r="AI193" s="220">
        <f t="shared" si="25"/>
        <v>4</v>
      </c>
      <c r="AJ193" s="222">
        <f t="shared" si="21"/>
        <v>0</v>
      </c>
      <c r="AK193" s="299" t="str">
        <f>IF(ISERROR(LOOKUP(E193,WKNrListe,Übersicht!$R$7:$R$46)),"-",LOOKUP(E193,WKNrListe,Übersicht!$R$7:$R$46))</f>
        <v>-</v>
      </c>
      <c r="AL193" s="299" t="str">
        <f t="shared" si="24"/>
        <v>-</v>
      </c>
      <c r="AM193" s="303"/>
      <c r="AN193" s="174" t="str">
        <f t="shared" si="26"/>
        <v>Leer</v>
      </c>
    </row>
    <row r="194" spans="1:40" s="174" customFormat="1" ht="15" customHeight="1">
      <c r="A194" s="63"/>
      <c r="B194" s="63"/>
      <c r="C194" s="84"/>
      <c r="D194" s="85"/>
      <c r="E194" s="62"/>
      <c r="F194" s="62"/>
      <c r="G194" s="62"/>
      <c r="H194" s="62"/>
      <c r="I194" s="62"/>
      <c r="J194" s="62"/>
      <c r="K194" s="62"/>
      <c r="L194" s="62"/>
      <c r="M194" s="62"/>
      <c r="N194" s="62"/>
      <c r="O194" s="62"/>
      <c r="P194" s="62"/>
      <c r="Q194" s="62"/>
      <c r="R194" s="62"/>
      <c r="S194" s="258"/>
      <c r="T194" s="248" t="str">
        <f t="shared" si="22"/>
        <v/>
      </c>
      <c r="U194" s="249" t="str">
        <f t="shared" si="23"/>
        <v/>
      </c>
      <c r="V194" s="294" t="str">
        <f t="shared" si="19"/>
        <v/>
      </c>
      <c r="W194" s="294" t="str">
        <f>IF(((E194="")+(F194="")),"",IF(VLOOKUP(F194,Mannschaften!$A$1:$B$54,2,FALSE)&lt;&gt;E194,"Reiter Mannschaften füllen",""))</f>
        <v/>
      </c>
      <c r="X194" s="248" t="str">
        <f>IF(ISBLANK(C194),"",IF((U194&gt;(LOOKUP(E194,WKNrListe,Übersicht!$O$7:$O$46)))+(U194&lt;(LOOKUP(E194,WKNrListe,Übersicht!$P$7:$P$46))),"JG falsch",""))</f>
        <v/>
      </c>
      <c r="Y194" s="255" t="str">
        <f>IF((A194="")*(B194=""),"",IF(ISERROR(MATCH(E194,WKNrListe,0)),"WK falsch",LOOKUP(E194,WKNrListe,Übersicht!$B$7:$B$46)))</f>
        <v/>
      </c>
      <c r="Z194" s="269" t="str">
        <f>IF(((AJ194=0)*(AH194&lt;&gt;"")*(AK194="-"))+((AJ194&lt;&gt;0)*(AH194&lt;&gt;"")*(AK194="-")),IF(AG194="X",Übersicht!$C$70,Übersicht!$C$69),"-")</f>
        <v>-</v>
      </c>
      <c r="AA194" s="252" t="str">
        <f>IF((($A194="")*($B194=""))+((MID($Y194,1,4)&lt;&gt;"Wahl")*(Deckblatt!$C$14='WK-Vorlagen'!$C$82))+(Deckblatt!$C$14&lt;&gt;'WK-Vorlagen'!$C$82),"",IF(ISERROR(MATCH(VALUE(MID(G194,1,2)),Schwierigkeitsstufen!$G$7:$G$19,0)),"Gerät falsch",LOOKUP(VALUE(MID(G194,1,2)),Schwierigkeitsstufen!$G$7:$G$19,Schwierigkeitsstufen!$H$7:$H$19)))</f>
        <v/>
      </c>
      <c r="AB194" s="250" t="str">
        <f>IF((($A194="")*($B194=""))+((MID($Y194,1,4)&lt;&gt;"Wahl")*(Deckblatt!$C$14='WK-Vorlagen'!$C$82))+(Deckblatt!$C$14&lt;&gt;'WK-Vorlagen'!$C$82),"",IF(ISERROR(MATCH(VALUE(MID(H194,1,2)),Schwierigkeitsstufen!$G$7:$G$19,0)),"Gerät falsch",LOOKUP(VALUE(MID(H194,1,2)),Schwierigkeitsstufen!$G$7:$G$19,Schwierigkeitsstufen!$H$7:$H$19)))</f>
        <v/>
      </c>
      <c r="AC194" s="250" t="str">
        <f>IF((($A194="")*($B194=""))+((MID($Y194,1,4)&lt;&gt;"Wahl")*(Deckblatt!$C$14='WK-Vorlagen'!$C$82))+(Deckblatt!$C$14&lt;&gt;'WK-Vorlagen'!$C$82),"",IF(ISERROR(MATCH(VALUE(MID(I194,1,2)),Schwierigkeitsstufen!$G$7:$G$19,0)),"Gerät falsch",LOOKUP(VALUE(MID(I194,1,2)),Schwierigkeitsstufen!$G$7:$G$19,Schwierigkeitsstufen!$H$7:$H$19)))</f>
        <v/>
      </c>
      <c r="AD194" s="251" t="str">
        <f>IF((($A194="")*($B194=""))+((MID($Y194,1,4)&lt;&gt;"Wahl")*(Deckblatt!$C$14='WK-Vorlagen'!$C$82))+(Deckblatt!$C$14&lt;&gt;'WK-Vorlagen'!$C$82),"",IF(ISERROR(MATCH(VALUE(MID(J194,1,2)),Schwierigkeitsstufen!$G$7:$G$19,0)),"Gerät falsch",LOOKUP(VALUE(MID(J194,1,2)),Schwierigkeitsstufen!$G$7:$G$19,Schwierigkeitsstufen!$H$7:$H$19)))</f>
        <v/>
      </c>
      <c r="AE194" s="211"/>
      <c r="AG194" s="221" t="str">
        <f t="shared" si="18"/>
        <v/>
      </c>
      <c r="AH194" s="222" t="str">
        <f t="shared" si="20"/>
        <v/>
      </c>
      <c r="AI194" s="220">
        <f t="shared" si="25"/>
        <v>4</v>
      </c>
      <c r="AJ194" s="222">
        <f t="shared" si="21"/>
        <v>0</v>
      </c>
      <c r="AK194" s="299" t="str">
        <f>IF(ISERROR(LOOKUP(E194,WKNrListe,Übersicht!$R$7:$R$46)),"-",LOOKUP(E194,WKNrListe,Übersicht!$R$7:$R$46))</f>
        <v>-</v>
      </c>
      <c r="AL194" s="299" t="str">
        <f t="shared" si="24"/>
        <v>-</v>
      </c>
      <c r="AM194" s="303"/>
      <c r="AN194" s="174" t="str">
        <f t="shared" si="26"/>
        <v>Leer</v>
      </c>
    </row>
    <row r="195" spans="1:40" s="174" customFormat="1" ht="15" customHeight="1">
      <c r="A195" s="63"/>
      <c r="B195" s="63"/>
      <c r="C195" s="84"/>
      <c r="D195" s="85"/>
      <c r="E195" s="62"/>
      <c r="F195" s="62"/>
      <c r="G195" s="62"/>
      <c r="H195" s="62"/>
      <c r="I195" s="62"/>
      <c r="J195" s="62"/>
      <c r="K195" s="62"/>
      <c r="L195" s="62"/>
      <c r="M195" s="62"/>
      <c r="N195" s="62"/>
      <c r="O195" s="62"/>
      <c r="P195" s="62"/>
      <c r="Q195" s="62"/>
      <c r="R195" s="62"/>
      <c r="S195" s="258"/>
      <c r="T195" s="248" t="str">
        <f t="shared" si="22"/>
        <v/>
      </c>
      <c r="U195" s="249" t="str">
        <f t="shared" si="23"/>
        <v/>
      </c>
      <c r="V195" s="294" t="str">
        <f t="shared" si="19"/>
        <v/>
      </c>
      <c r="W195" s="294" t="str">
        <f>IF(((E195="")+(F195="")),"",IF(VLOOKUP(F195,Mannschaften!$A$1:$B$54,2,FALSE)&lt;&gt;E195,"Reiter Mannschaften füllen",""))</f>
        <v/>
      </c>
      <c r="X195" s="248" t="str">
        <f>IF(ISBLANK(C195),"",IF((U195&gt;(LOOKUP(E195,WKNrListe,Übersicht!$O$7:$O$46)))+(U195&lt;(LOOKUP(E195,WKNrListe,Übersicht!$P$7:$P$46))),"JG falsch",""))</f>
        <v/>
      </c>
      <c r="Y195" s="255" t="str">
        <f>IF((A195="")*(B195=""),"",IF(ISERROR(MATCH(E195,WKNrListe,0)),"WK falsch",LOOKUP(E195,WKNrListe,Übersicht!$B$7:$B$46)))</f>
        <v/>
      </c>
      <c r="Z195" s="269" t="str">
        <f>IF(((AJ195=0)*(AH195&lt;&gt;"")*(AK195="-"))+((AJ195&lt;&gt;0)*(AH195&lt;&gt;"")*(AK195="-")),IF(AG195="X",Übersicht!$C$70,Übersicht!$C$69),"-")</f>
        <v>-</v>
      </c>
      <c r="AA195" s="252" t="str">
        <f>IF((($A195="")*($B195=""))+((MID($Y195,1,4)&lt;&gt;"Wahl")*(Deckblatt!$C$14='WK-Vorlagen'!$C$82))+(Deckblatt!$C$14&lt;&gt;'WK-Vorlagen'!$C$82),"",IF(ISERROR(MATCH(VALUE(MID(G195,1,2)),Schwierigkeitsstufen!$G$7:$G$19,0)),"Gerät falsch",LOOKUP(VALUE(MID(G195,1,2)),Schwierigkeitsstufen!$G$7:$G$19,Schwierigkeitsstufen!$H$7:$H$19)))</f>
        <v/>
      </c>
      <c r="AB195" s="250" t="str">
        <f>IF((($A195="")*($B195=""))+((MID($Y195,1,4)&lt;&gt;"Wahl")*(Deckblatt!$C$14='WK-Vorlagen'!$C$82))+(Deckblatt!$C$14&lt;&gt;'WK-Vorlagen'!$C$82),"",IF(ISERROR(MATCH(VALUE(MID(H195,1,2)),Schwierigkeitsstufen!$G$7:$G$19,0)),"Gerät falsch",LOOKUP(VALUE(MID(H195,1,2)),Schwierigkeitsstufen!$G$7:$G$19,Schwierigkeitsstufen!$H$7:$H$19)))</f>
        <v/>
      </c>
      <c r="AC195" s="250" t="str">
        <f>IF((($A195="")*($B195=""))+((MID($Y195,1,4)&lt;&gt;"Wahl")*(Deckblatt!$C$14='WK-Vorlagen'!$C$82))+(Deckblatt!$C$14&lt;&gt;'WK-Vorlagen'!$C$82),"",IF(ISERROR(MATCH(VALUE(MID(I195,1,2)),Schwierigkeitsstufen!$G$7:$G$19,0)),"Gerät falsch",LOOKUP(VALUE(MID(I195,1,2)),Schwierigkeitsstufen!$G$7:$G$19,Schwierigkeitsstufen!$H$7:$H$19)))</f>
        <v/>
      </c>
      <c r="AD195" s="251" t="str">
        <f>IF((($A195="")*($B195=""))+((MID($Y195,1,4)&lt;&gt;"Wahl")*(Deckblatt!$C$14='WK-Vorlagen'!$C$82))+(Deckblatt!$C$14&lt;&gt;'WK-Vorlagen'!$C$82),"",IF(ISERROR(MATCH(VALUE(MID(J195,1,2)),Schwierigkeitsstufen!$G$7:$G$19,0)),"Gerät falsch",LOOKUP(VALUE(MID(J195,1,2)),Schwierigkeitsstufen!$G$7:$G$19,Schwierigkeitsstufen!$H$7:$H$19)))</f>
        <v/>
      </c>
      <c r="AE195" s="211"/>
      <c r="AG195" s="221" t="str">
        <f t="shared" si="18"/>
        <v/>
      </c>
      <c r="AH195" s="222" t="str">
        <f t="shared" si="20"/>
        <v/>
      </c>
      <c r="AI195" s="220">
        <f t="shared" si="25"/>
        <v>4</v>
      </c>
      <c r="AJ195" s="222">
        <f t="shared" si="21"/>
        <v>0</v>
      </c>
      <c r="AK195" s="299" t="str">
        <f>IF(ISERROR(LOOKUP(E195,WKNrListe,Übersicht!$R$7:$R$46)),"-",LOOKUP(E195,WKNrListe,Übersicht!$R$7:$R$46))</f>
        <v>-</v>
      </c>
      <c r="AL195" s="299" t="str">
        <f t="shared" si="24"/>
        <v>-</v>
      </c>
      <c r="AM195" s="303"/>
      <c r="AN195" s="174" t="str">
        <f t="shared" si="26"/>
        <v>Leer</v>
      </c>
    </row>
    <row r="196" spans="1:40" s="174" customFormat="1" ht="15" customHeight="1">
      <c r="A196" s="63"/>
      <c r="B196" s="63"/>
      <c r="C196" s="84"/>
      <c r="D196" s="85"/>
      <c r="E196" s="62"/>
      <c r="F196" s="62"/>
      <c r="G196" s="62"/>
      <c r="H196" s="62"/>
      <c r="I196" s="62"/>
      <c r="J196" s="62"/>
      <c r="K196" s="62"/>
      <c r="L196" s="62"/>
      <c r="M196" s="62"/>
      <c r="N196" s="62"/>
      <c r="O196" s="62"/>
      <c r="P196" s="62"/>
      <c r="Q196" s="62"/>
      <c r="R196" s="62"/>
      <c r="S196" s="258"/>
      <c r="T196" s="248" t="str">
        <f t="shared" si="22"/>
        <v/>
      </c>
      <c r="U196" s="249" t="str">
        <f t="shared" si="23"/>
        <v/>
      </c>
      <c r="V196" s="294" t="str">
        <f t="shared" si="19"/>
        <v/>
      </c>
      <c r="W196" s="294" t="str">
        <f>IF(((E196="")+(F196="")),"",IF(VLOOKUP(F196,Mannschaften!$A$1:$B$54,2,FALSE)&lt;&gt;E196,"Reiter Mannschaften füllen",""))</f>
        <v/>
      </c>
      <c r="X196" s="248" t="str">
        <f>IF(ISBLANK(C196),"",IF((U196&gt;(LOOKUP(E196,WKNrListe,Übersicht!$O$7:$O$46)))+(U196&lt;(LOOKUP(E196,WKNrListe,Übersicht!$P$7:$P$46))),"JG falsch",""))</f>
        <v/>
      </c>
      <c r="Y196" s="255" t="str">
        <f>IF((A196="")*(B196=""),"",IF(ISERROR(MATCH(E196,WKNrListe,0)),"WK falsch",LOOKUP(E196,WKNrListe,Übersicht!$B$7:$B$46)))</f>
        <v/>
      </c>
      <c r="Z196" s="269" t="str">
        <f>IF(((AJ196=0)*(AH196&lt;&gt;"")*(AK196="-"))+((AJ196&lt;&gt;0)*(AH196&lt;&gt;"")*(AK196="-")),IF(AG196="X",Übersicht!$C$70,Übersicht!$C$69),"-")</f>
        <v>-</v>
      </c>
      <c r="AA196" s="252" t="str">
        <f>IF((($A196="")*($B196=""))+((MID($Y196,1,4)&lt;&gt;"Wahl")*(Deckblatt!$C$14='WK-Vorlagen'!$C$82))+(Deckblatt!$C$14&lt;&gt;'WK-Vorlagen'!$C$82),"",IF(ISERROR(MATCH(VALUE(MID(G196,1,2)),Schwierigkeitsstufen!$G$7:$G$19,0)),"Gerät falsch",LOOKUP(VALUE(MID(G196,1,2)),Schwierigkeitsstufen!$G$7:$G$19,Schwierigkeitsstufen!$H$7:$H$19)))</f>
        <v/>
      </c>
      <c r="AB196" s="250" t="str">
        <f>IF((($A196="")*($B196=""))+((MID($Y196,1,4)&lt;&gt;"Wahl")*(Deckblatt!$C$14='WK-Vorlagen'!$C$82))+(Deckblatt!$C$14&lt;&gt;'WK-Vorlagen'!$C$82),"",IF(ISERROR(MATCH(VALUE(MID(H196,1,2)),Schwierigkeitsstufen!$G$7:$G$19,0)),"Gerät falsch",LOOKUP(VALUE(MID(H196,1,2)),Schwierigkeitsstufen!$G$7:$G$19,Schwierigkeitsstufen!$H$7:$H$19)))</f>
        <v/>
      </c>
      <c r="AC196" s="250" t="str">
        <f>IF((($A196="")*($B196=""))+((MID($Y196,1,4)&lt;&gt;"Wahl")*(Deckblatt!$C$14='WK-Vorlagen'!$C$82))+(Deckblatt!$C$14&lt;&gt;'WK-Vorlagen'!$C$82),"",IF(ISERROR(MATCH(VALUE(MID(I196,1,2)),Schwierigkeitsstufen!$G$7:$G$19,0)),"Gerät falsch",LOOKUP(VALUE(MID(I196,1,2)),Schwierigkeitsstufen!$G$7:$G$19,Schwierigkeitsstufen!$H$7:$H$19)))</f>
        <v/>
      </c>
      <c r="AD196" s="251" t="str">
        <f>IF((($A196="")*($B196=""))+((MID($Y196,1,4)&lt;&gt;"Wahl")*(Deckblatt!$C$14='WK-Vorlagen'!$C$82))+(Deckblatt!$C$14&lt;&gt;'WK-Vorlagen'!$C$82),"",IF(ISERROR(MATCH(VALUE(MID(J196,1,2)),Schwierigkeitsstufen!$G$7:$G$19,0)),"Gerät falsch",LOOKUP(VALUE(MID(J196,1,2)),Schwierigkeitsstufen!$G$7:$G$19,Schwierigkeitsstufen!$H$7:$H$19)))</f>
        <v/>
      </c>
      <c r="AE196" s="211"/>
      <c r="AG196" s="221" t="str">
        <f t="shared" ref="AG196:AG259" si="27">IF((C196&lt;&gt;0),IF(((Jahr-U196)&gt;19)*(AJ196=0)*(AK196&lt;&gt;1),"X",IF(((Jahr-U196)&gt;19)*(AJ196=0),"J","-")),"")</f>
        <v/>
      </c>
      <c r="AH196" s="222" t="str">
        <f t="shared" si="20"/>
        <v/>
      </c>
      <c r="AI196" s="220">
        <f t="shared" si="25"/>
        <v>4</v>
      </c>
      <c r="AJ196" s="222">
        <f t="shared" si="21"/>
        <v>0</v>
      </c>
      <c r="AK196" s="299" t="str">
        <f>IF(ISERROR(LOOKUP(E196,WKNrListe,Übersicht!$R$7:$R$46)),"-",LOOKUP(E196,WKNrListe,Übersicht!$R$7:$R$46))</f>
        <v>-</v>
      </c>
      <c r="AL196" s="299" t="str">
        <f t="shared" si="24"/>
        <v>-</v>
      </c>
      <c r="AM196" s="303"/>
      <c r="AN196" s="174" t="str">
        <f t="shared" si="26"/>
        <v>Leer</v>
      </c>
    </row>
    <row r="197" spans="1:40" s="174" customFormat="1" ht="15" customHeight="1">
      <c r="A197" s="63"/>
      <c r="B197" s="63"/>
      <c r="C197" s="84"/>
      <c r="D197" s="85"/>
      <c r="E197" s="62"/>
      <c r="F197" s="62"/>
      <c r="G197" s="62"/>
      <c r="H197" s="62"/>
      <c r="I197" s="62"/>
      <c r="J197" s="62"/>
      <c r="K197" s="62"/>
      <c r="L197" s="62"/>
      <c r="M197" s="62"/>
      <c r="N197" s="62"/>
      <c r="O197" s="62"/>
      <c r="P197" s="62"/>
      <c r="Q197" s="62"/>
      <c r="R197" s="62"/>
      <c r="S197" s="258"/>
      <c r="T197" s="248" t="str">
        <f t="shared" si="22"/>
        <v/>
      </c>
      <c r="U197" s="249" t="str">
        <f t="shared" si="23"/>
        <v/>
      </c>
      <c r="V197" s="294" t="str">
        <f t="shared" ref="V197:V260" si="28">IF(((AK197="-")*(F197=""))+((AK197=1)*(F197&lt;&gt;""))+(Y197="WK falsch"),"",IF((AK197=1)*(F197=""),"Mannsch-Nr fehlt","Mannsch-Nr entf"))</f>
        <v/>
      </c>
      <c r="W197" s="294" t="str">
        <f>IF(((E197="")+(F197="")),"",IF(VLOOKUP(F197,Mannschaften!$A$1:$B$54,2,FALSE)&lt;&gt;E197,"Reiter Mannschaften füllen",""))</f>
        <v/>
      </c>
      <c r="X197" s="248" t="str">
        <f>IF(ISBLANK(C197),"",IF((U197&gt;(LOOKUP(E197,WKNrListe,Übersicht!$O$7:$O$46)))+(U197&lt;(LOOKUP(E197,WKNrListe,Übersicht!$P$7:$P$46))),"JG falsch",""))</f>
        <v/>
      </c>
      <c r="Y197" s="255" t="str">
        <f>IF((A197="")*(B197=""),"",IF(ISERROR(MATCH(E197,WKNrListe,0)),"WK falsch",LOOKUP(E197,WKNrListe,Übersicht!$B$7:$B$46)))</f>
        <v/>
      </c>
      <c r="Z197" s="269" t="str">
        <f>IF(((AJ197=0)*(AH197&lt;&gt;"")*(AK197="-"))+((AJ197&lt;&gt;0)*(AH197&lt;&gt;"")*(AK197="-")),IF(AG197="X",Übersicht!$C$70,Übersicht!$C$69),"-")</f>
        <v>-</v>
      </c>
      <c r="AA197" s="252" t="str">
        <f>IF((($A197="")*($B197=""))+((MID($Y197,1,4)&lt;&gt;"Wahl")*(Deckblatt!$C$14='WK-Vorlagen'!$C$82))+(Deckblatt!$C$14&lt;&gt;'WK-Vorlagen'!$C$82),"",IF(ISERROR(MATCH(VALUE(MID(G197,1,2)),Schwierigkeitsstufen!$G$7:$G$19,0)),"Gerät falsch",LOOKUP(VALUE(MID(G197,1,2)),Schwierigkeitsstufen!$G$7:$G$19,Schwierigkeitsstufen!$H$7:$H$19)))</f>
        <v/>
      </c>
      <c r="AB197" s="250" t="str">
        <f>IF((($A197="")*($B197=""))+((MID($Y197,1,4)&lt;&gt;"Wahl")*(Deckblatt!$C$14='WK-Vorlagen'!$C$82))+(Deckblatt!$C$14&lt;&gt;'WK-Vorlagen'!$C$82),"",IF(ISERROR(MATCH(VALUE(MID(H197,1,2)),Schwierigkeitsstufen!$G$7:$G$19,0)),"Gerät falsch",LOOKUP(VALUE(MID(H197,1,2)),Schwierigkeitsstufen!$G$7:$G$19,Schwierigkeitsstufen!$H$7:$H$19)))</f>
        <v/>
      </c>
      <c r="AC197" s="250" t="str">
        <f>IF((($A197="")*($B197=""))+((MID($Y197,1,4)&lt;&gt;"Wahl")*(Deckblatt!$C$14='WK-Vorlagen'!$C$82))+(Deckblatt!$C$14&lt;&gt;'WK-Vorlagen'!$C$82),"",IF(ISERROR(MATCH(VALUE(MID(I197,1,2)),Schwierigkeitsstufen!$G$7:$G$19,0)),"Gerät falsch",LOOKUP(VALUE(MID(I197,1,2)),Schwierigkeitsstufen!$G$7:$G$19,Schwierigkeitsstufen!$H$7:$H$19)))</f>
        <v/>
      </c>
      <c r="AD197" s="251" t="str">
        <f>IF((($A197="")*($B197=""))+((MID($Y197,1,4)&lt;&gt;"Wahl")*(Deckblatt!$C$14='WK-Vorlagen'!$C$82))+(Deckblatt!$C$14&lt;&gt;'WK-Vorlagen'!$C$82),"",IF(ISERROR(MATCH(VALUE(MID(J197,1,2)),Schwierigkeitsstufen!$G$7:$G$19,0)),"Gerät falsch",LOOKUP(VALUE(MID(J197,1,2)),Schwierigkeitsstufen!$G$7:$G$19,Schwierigkeitsstufen!$H$7:$H$19)))</f>
        <v/>
      </c>
      <c r="AE197" s="211"/>
      <c r="AG197" s="221" t="str">
        <f t="shared" si="27"/>
        <v/>
      </c>
      <c r="AH197" s="222" t="str">
        <f t="shared" ref="AH197:AH260" si="29">CONCATENATE(TRIM(A197),TRIM(B197),TRIM(C197))</f>
        <v/>
      </c>
      <c r="AI197" s="220">
        <f t="shared" si="25"/>
        <v>4</v>
      </c>
      <c r="AJ197" s="222">
        <f t="shared" ref="AJ197:AJ260" si="30">IF(AH197="",0,IF(ROW(AH197)=AI197,0,AI197))</f>
        <v>0</v>
      </c>
      <c r="AK197" s="299" t="str">
        <f>IF(ISERROR(LOOKUP(E197,WKNrListe,Übersicht!$R$7:$R$46)),"-",LOOKUP(E197,WKNrListe,Übersicht!$R$7:$R$46))</f>
        <v>-</v>
      </c>
      <c r="AL197" s="299" t="str">
        <f t="shared" si="24"/>
        <v>-</v>
      </c>
      <c r="AM197" s="303"/>
      <c r="AN197" s="174" t="str">
        <f t="shared" si="26"/>
        <v>Leer</v>
      </c>
    </row>
    <row r="198" spans="1:40" s="174" customFormat="1" ht="15" customHeight="1">
      <c r="A198" s="63"/>
      <c r="B198" s="63"/>
      <c r="C198" s="84"/>
      <c r="D198" s="85"/>
      <c r="E198" s="62"/>
      <c r="F198" s="62"/>
      <c r="G198" s="62"/>
      <c r="H198" s="62"/>
      <c r="I198" s="62"/>
      <c r="J198" s="62"/>
      <c r="K198" s="62"/>
      <c r="L198" s="62"/>
      <c r="M198" s="62"/>
      <c r="N198" s="62"/>
      <c r="O198" s="62"/>
      <c r="P198" s="62"/>
      <c r="Q198" s="62"/>
      <c r="R198" s="62"/>
      <c r="S198" s="258"/>
      <c r="T198" s="248" t="str">
        <f t="shared" ref="T198:T261" si="31">IF(AND(OR(ISTEXT(A198),ISTEXT(B198),NOT(ISBLANK(C198)),NOT(ISBLANK(D198)),NOT(ISBLANK(E198))),OR(ISBLANK(A198),ISBLANK(B198),ISBLANK(C198),ISBLANK(E198))),"unvollständig","")</f>
        <v/>
      </c>
      <c r="U198" s="249" t="str">
        <f t="shared" ref="U198:U261" si="32">IF(ISBLANK(C198),"",YEAR(C198))</f>
        <v/>
      </c>
      <c r="V198" s="294" t="str">
        <f t="shared" si="28"/>
        <v/>
      </c>
      <c r="W198" s="294" t="str">
        <f>IF(((E198="")+(F198="")),"",IF(VLOOKUP(F198,Mannschaften!$A$1:$B$54,2,FALSE)&lt;&gt;E198,"Reiter Mannschaften füllen",""))</f>
        <v/>
      </c>
      <c r="X198" s="248" t="str">
        <f>IF(ISBLANK(C198),"",IF((U198&gt;(LOOKUP(E198,WKNrListe,Übersicht!$O$7:$O$46)))+(U198&lt;(LOOKUP(E198,WKNrListe,Übersicht!$P$7:$P$46))),"JG falsch",""))</f>
        <v/>
      </c>
      <c r="Y198" s="255" t="str">
        <f>IF((A198="")*(B198=""),"",IF(ISERROR(MATCH(E198,WKNrListe,0)),"WK falsch",LOOKUP(E198,WKNrListe,Übersicht!$B$7:$B$46)))</f>
        <v/>
      </c>
      <c r="Z198" s="269" t="str">
        <f>IF(((AJ198=0)*(AH198&lt;&gt;"")*(AK198="-"))+((AJ198&lt;&gt;0)*(AH198&lt;&gt;"")*(AK198="-")),IF(AG198="X",Übersicht!$C$70,Übersicht!$C$69),"-")</f>
        <v>-</v>
      </c>
      <c r="AA198" s="252" t="str">
        <f>IF((($A198="")*($B198=""))+((MID($Y198,1,4)&lt;&gt;"Wahl")*(Deckblatt!$C$14='WK-Vorlagen'!$C$82))+(Deckblatt!$C$14&lt;&gt;'WK-Vorlagen'!$C$82),"",IF(ISERROR(MATCH(VALUE(MID(G198,1,2)),Schwierigkeitsstufen!$G$7:$G$19,0)),"Gerät falsch",LOOKUP(VALUE(MID(G198,1,2)),Schwierigkeitsstufen!$G$7:$G$19,Schwierigkeitsstufen!$H$7:$H$19)))</f>
        <v/>
      </c>
      <c r="AB198" s="250" t="str">
        <f>IF((($A198="")*($B198=""))+((MID($Y198,1,4)&lt;&gt;"Wahl")*(Deckblatt!$C$14='WK-Vorlagen'!$C$82))+(Deckblatt!$C$14&lt;&gt;'WK-Vorlagen'!$C$82),"",IF(ISERROR(MATCH(VALUE(MID(H198,1,2)),Schwierigkeitsstufen!$G$7:$G$19,0)),"Gerät falsch",LOOKUP(VALUE(MID(H198,1,2)),Schwierigkeitsstufen!$G$7:$G$19,Schwierigkeitsstufen!$H$7:$H$19)))</f>
        <v/>
      </c>
      <c r="AC198" s="250" t="str">
        <f>IF((($A198="")*($B198=""))+((MID($Y198,1,4)&lt;&gt;"Wahl")*(Deckblatt!$C$14='WK-Vorlagen'!$C$82))+(Deckblatt!$C$14&lt;&gt;'WK-Vorlagen'!$C$82),"",IF(ISERROR(MATCH(VALUE(MID(I198,1,2)),Schwierigkeitsstufen!$G$7:$G$19,0)),"Gerät falsch",LOOKUP(VALUE(MID(I198,1,2)),Schwierigkeitsstufen!$G$7:$G$19,Schwierigkeitsstufen!$H$7:$H$19)))</f>
        <v/>
      </c>
      <c r="AD198" s="251" t="str">
        <f>IF((($A198="")*($B198=""))+((MID($Y198,1,4)&lt;&gt;"Wahl")*(Deckblatt!$C$14='WK-Vorlagen'!$C$82))+(Deckblatt!$C$14&lt;&gt;'WK-Vorlagen'!$C$82),"",IF(ISERROR(MATCH(VALUE(MID(J198,1,2)),Schwierigkeitsstufen!$G$7:$G$19,0)),"Gerät falsch",LOOKUP(VALUE(MID(J198,1,2)),Schwierigkeitsstufen!$G$7:$G$19,Schwierigkeitsstufen!$H$7:$H$19)))</f>
        <v/>
      </c>
      <c r="AE198" s="211"/>
      <c r="AG198" s="221" t="str">
        <f t="shared" si="27"/>
        <v/>
      </c>
      <c r="AH198" s="222" t="str">
        <f t="shared" si="29"/>
        <v/>
      </c>
      <c r="AI198" s="220">
        <f t="shared" si="25"/>
        <v>4</v>
      </c>
      <c r="AJ198" s="222">
        <f t="shared" si="30"/>
        <v>0</v>
      </c>
      <c r="AK198" s="299" t="str">
        <f>IF(ISERROR(LOOKUP(E198,WKNrListe,Übersicht!$R$7:$R$46)),"-",LOOKUP(E198,WKNrListe,Übersicht!$R$7:$R$46))</f>
        <v>-</v>
      </c>
      <c r="AL198" s="299" t="str">
        <f t="shared" ref="AL198:AL261" si="33">IF(E198="","-",E198)</f>
        <v>-</v>
      </c>
      <c r="AM198" s="303"/>
      <c r="AN198" s="174" t="str">
        <f t="shared" si="26"/>
        <v>Leer</v>
      </c>
    </row>
    <row r="199" spans="1:40" s="174" customFormat="1" ht="15" customHeight="1">
      <c r="A199" s="63"/>
      <c r="B199" s="63"/>
      <c r="C199" s="84"/>
      <c r="D199" s="85"/>
      <c r="E199" s="62"/>
      <c r="F199" s="62"/>
      <c r="G199" s="62"/>
      <c r="H199" s="62"/>
      <c r="I199" s="62"/>
      <c r="J199" s="62"/>
      <c r="K199" s="62"/>
      <c r="L199" s="62"/>
      <c r="M199" s="62"/>
      <c r="N199" s="62"/>
      <c r="O199" s="62"/>
      <c r="P199" s="62"/>
      <c r="Q199" s="62"/>
      <c r="R199" s="62"/>
      <c r="S199" s="258"/>
      <c r="T199" s="248" t="str">
        <f t="shared" si="31"/>
        <v/>
      </c>
      <c r="U199" s="249" t="str">
        <f t="shared" si="32"/>
        <v/>
      </c>
      <c r="V199" s="294" t="str">
        <f t="shared" si="28"/>
        <v/>
      </c>
      <c r="W199" s="294" t="str">
        <f>IF(((E199="")+(F199="")),"",IF(VLOOKUP(F199,Mannschaften!$A$1:$B$54,2,FALSE)&lt;&gt;E199,"Reiter Mannschaften füllen",""))</f>
        <v/>
      </c>
      <c r="X199" s="248" t="str">
        <f>IF(ISBLANK(C199),"",IF((U199&gt;(LOOKUP(E199,WKNrListe,Übersicht!$O$7:$O$46)))+(U199&lt;(LOOKUP(E199,WKNrListe,Übersicht!$P$7:$P$46))),"JG falsch",""))</f>
        <v/>
      </c>
      <c r="Y199" s="255" t="str">
        <f>IF((A199="")*(B199=""),"",IF(ISERROR(MATCH(E199,WKNrListe,0)),"WK falsch",LOOKUP(E199,WKNrListe,Übersicht!$B$7:$B$46)))</f>
        <v/>
      </c>
      <c r="Z199" s="269" t="str">
        <f>IF(((AJ199=0)*(AH199&lt;&gt;"")*(AK199="-"))+((AJ199&lt;&gt;0)*(AH199&lt;&gt;"")*(AK199="-")),IF(AG199="X",Übersicht!$C$70,Übersicht!$C$69),"-")</f>
        <v>-</v>
      </c>
      <c r="AA199" s="252" t="str">
        <f>IF((($A199="")*($B199=""))+((MID($Y199,1,4)&lt;&gt;"Wahl")*(Deckblatt!$C$14='WK-Vorlagen'!$C$82))+(Deckblatt!$C$14&lt;&gt;'WK-Vorlagen'!$C$82),"",IF(ISERROR(MATCH(VALUE(MID(G199,1,2)),Schwierigkeitsstufen!$G$7:$G$19,0)),"Gerät falsch",LOOKUP(VALUE(MID(G199,1,2)),Schwierigkeitsstufen!$G$7:$G$19,Schwierigkeitsstufen!$H$7:$H$19)))</f>
        <v/>
      </c>
      <c r="AB199" s="250" t="str">
        <f>IF((($A199="")*($B199=""))+((MID($Y199,1,4)&lt;&gt;"Wahl")*(Deckblatt!$C$14='WK-Vorlagen'!$C$82))+(Deckblatt!$C$14&lt;&gt;'WK-Vorlagen'!$C$82),"",IF(ISERROR(MATCH(VALUE(MID(H199,1,2)),Schwierigkeitsstufen!$G$7:$G$19,0)),"Gerät falsch",LOOKUP(VALUE(MID(H199,1,2)),Schwierigkeitsstufen!$G$7:$G$19,Schwierigkeitsstufen!$H$7:$H$19)))</f>
        <v/>
      </c>
      <c r="AC199" s="250" t="str">
        <f>IF((($A199="")*($B199=""))+((MID($Y199,1,4)&lt;&gt;"Wahl")*(Deckblatt!$C$14='WK-Vorlagen'!$C$82))+(Deckblatt!$C$14&lt;&gt;'WK-Vorlagen'!$C$82),"",IF(ISERROR(MATCH(VALUE(MID(I199,1,2)),Schwierigkeitsstufen!$G$7:$G$19,0)),"Gerät falsch",LOOKUP(VALUE(MID(I199,1,2)),Schwierigkeitsstufen!$G$7:$G$19,Schwierigkeitsstufen!$H$7:$H$19)))</f>
        <v/>
      </c>
      <c r="AD199" s="251" t="str">
        <f>IF((($A199="")*($B199=""))+((MID($Y199,1,4)&lt;&gt;"Wahl")*(Deckblatt!$C$14='WK-Vorlagen'!$C$82))+(Deckblatt!$C$14&lt;&gt;'WK-Vorlagen'!$C$82),"",IF(ISERROR(MATCH(VALUE(MID(J199,1,2)),Schwierigkeitsstufen!$G$7:$G$19,0)),"Gerät falsch",LOOKUP(VALUE(MID(J199,1,2)),Schwierigkeitsstufen!$G$7:$G$19,Schwierigkeitsstufen!$H$7:$H$19)))</f>
        <v/>
      </c>
      <c r="AE199" s="211"/>
      <c r="AG199" s="221" t="str">
        <f t="shared" si="27"/>
        <v/>
      </c>
      <c r="AH199" s="222" t="str">
        <f t="shared" si="29"/>
        <v/>
      </c>
      <c r="AI199" s="220">
        <f t="shared" ref="AI199:AI262" si="34">MATCH(AH199,AH:AH,0)</f>
        <v>4</v>
      </c>
      <c r="AJ199" s="222">
        <f t="shared" si="30"/>
        <v>0</v>
      </c>
      <c r="AK199" s="299" t="str">
        <f>IF(ISERROR(LOOKUP(E199,WKNrListe,Übersicht!$R$7:$R$46)),"-",LOOKUP(E199,WKNrListe,Übersicht!$R$7:$R$46))</f>
        <v>-</v>
      </c>
      <c r="AL199" s="299" t="str">
        <f t="shared" si="33"/>
        <v>-</v>
      </c>
      <c r="AM199" s="303"/>
      <c r="AN199" s="174" t="str">
        <f t="shared" si="26"/>
        <v>Leer</v>
      </c>
    </row>
    <row r="200" spans="1:40" s="174" customFormat="1" ht="15" customHeight="1">
      <c r="A200" s="63"/>
      <c r="B200" s="63"/>
      <c r="C200" s="84"/>
      <c r="D200" s="85"/>
      <c r="E200" s="62"/>
      <c r="F200" s="62"/>
      <c r="G200" s="62"/>
      <c r="H200" s="62"/>
      <c r="I200" s="62"/>
      <c r="J200" s="62"/>
      <c r="K200" s="62"/>
      <c r="L200" s="62"/>
      <c r="M200" s="62"/>
      <c r="N200" s="62"/>
      <c r="O200" s="62"/>
      <c r="P200" s="62"/>
      <c r="Q200" s="62"/>
      <c r="R200" s="62"/>
      <c r="S200" s="258"/>
      <c r="T200" s="248" t="str">
        <f t="shared" si="31"/>
        <v/>
      </c>
      <c r="U200" s="249" t="str">
        <f t="shared" si="32"/>
        <v/>
      </c>
      <c r="V200" s="294" t="str">
        <f t="shared" si="28"/>
        <v/>
      </c>
      <c r="W200" s="294" t="str">
        <f>IF(((E200="")+(F200="")),"",IF(VLOOKUP(F200,Mannschaften!$A$1:$B$54,2,FALSE)&lt;&gt;E200,"Reiter Mannschaften füllen",""))</f>
        <v/>
      </c>
      <c r="X200" s="248" t="str">
        <f>IF(ISBLANK(C200),"",IF((U200&gt;(LOOKUP(E200,WKNrListe,Übersicht!$O$7:$O$46)))+(U200&lt;(LOOKUP(E200,WKNrListe,Übersicht!$P$7:$P$46))),"JG falsch",""))</f>
        <v/>
      </c>
      <c r="Y200" s="255" t="str">
        <f>IF((A200="")*(B200=""),"",IF(ISERROR(MATCH(E200,WKNrListe,0)),"WK falsch",LOOKUP(E200,WKNrListe,Übersicht!$B$7:$B$46)))</f>
        <v/>
      </c>
      <c r="Z200" s="269" t="str">
        <f>IF(((AJ200=0)*(AH200&lt;&gt;"")*(AK200="-"))+((AJ200&lt;&gt;0)*(AH200&lt;&gt;"")*(AK200="-")),IF(AG200="X",Übersicht!$C$70,Übersicht!$C$69),"-")</f>
        <v>-</v>
      </c>
      <c r="AA200" s="252" t="str">
        <f>IF((($A200="")*($B200=""))+((MID($Y200,1,4)&lt;&gt;"Wahl")*(Deckblatt!$C$14='WK-Vorlagen'!$C$82))+(Deckblatt!$C$14&lt;&gt;'WK-Vorlagen'!$C$82),"",IF(ISERROR(MATCH(VALUE(MID(G200,1,2)),Schwierigkeitsstufen!$G$7:$G$19,0)),"Gerät falsch",LOOKUP(VALUE(MID(G200,1,2)),Schwierigkeitsstufen!$G$7:$G$19,Schwierigkeitsstufen!$H$7:$H$19)))</f>
        <v/>
      </c>
      <c r="AB200" s="250" t="str">
        <f>IF((($A200="")*($B200=""))+((MID($Y200,1,4)&lt;&gt;"Wahl")*(Deckblatt!$C$14='WK-Vorlagen'!$C$82))+(Deckblatt!$C$14&lt;&gt;'WK-Vorlagen'!$C$82),"",IF(ISERROR(MATCH(VALUE(MID(H200,1,2)),Schwierigkeitsstufen!$G$7:$G$19,0)),"Gerät falsch",LOOKUP(VALUE(MID(H200,1,2)),Schwierigkeitsstufen!$G$7:$G$19,Schwierigkeitsstufen!$H$7:$H$19)))</f>
        <v/>
      </c>
      <c r="AC200" s="250" t="str">
        <f>IF((($A200="")*($B200=""))+((MID($Y200,1,4)&lt;&gt;"Wahl")*(Deckblatt!$C$14='WK-Vorlagen'!$C$82))+(Deckblatt!$C$14&lt;&gt;'WK-Vorlagen'!$C$82),"",IF(ISERROR(MATCH(VALUE(MID(I200,1,2)),Schwierigkeitsstufen!$G$7:$G$19,0)),"Gerät falsch",LOOKUP(VALUE(MID(I200,1,2)),Schwierigkeitsstufen!$G$7:$G$19,Schwierigkeitsstufen!$H$7:$H$19)))</f>
        <v/>
      </c>
      <c r="AD200" s="251" t="str">
        <f>IF((($A200="")*($B200=""))+((MID($Y200,1,4)&lt;&gt;"Wahl")*(Deckblatt!$C$14='WK-Vorlagen'!$C$82))+(Deckblatt!$C$14&lt;&gt;'WK-Vorlagen'!$C$82),"",IF(ISERROR(MATCH(VALUE(MID(J200,1,2)),Schwierigkeitsstufen!$G$7:$G$19,0)),"Gerät falsch",LOOKUP(VALUE(MID(J200,1,2)),Schwierigkeitsstufen!$G$7:$G$19,Schwierigkeitsstufen!$H$7:$H$19)))</f>
        <v/>
      </c>
      <c r="AE200" s="211"/>
      <c r="AG200" s="221" t="str">
        <f t="shared" si="27"/>
        <v/>
      </c>
      <c r="AH200" s="222" t="str">
        <f t="shared" si="29"/>
        <v/>
      </c>
      <c r="AI200" s="220">
        <f t="shared" si="34"/>
        <v>4</v>
      </c>
      <c r="AJ200" s="222">
        <f t="shared" si="30"/>
        <v>0</v>
      </c>
      <c r="AK200" s="299" t="str">
        <f>IF(ISERROR(LOOKUP(E200,WKNrListe,Übersicht!$R$7:$R$46)),"-",LOOKUP(E200,WKNrListe,Übersicht!$R$7:$R$46))</f>
        <v>-</v>
      </c>
      <c r="AL200" s="299" t="str">
        <f t="shared" si="33"/>
        <v>-</v>
      </c>
      <c r="AM200" s="303"/>
      <c r="AN200" s="174" t="str">
        <f t="shared" si="26"/>
        <v>Leer</v>
      </c>
    </row>
    <row r="201" spans="1:40" s="174" customFormat="1" ht="15" customHeight="1">
      <c r="A201" s="63"/>
      <c r="B201" s="63"/>
      <c r="C201" s="84"/>
      <c r="D201" s="85"/>
      <c r="E201" s="62"/>
      <c r="F201" s="62"/>
      <c r="G201" s="62"/>
      <c r="H201" s="62"/>
      <c r="I201" s="62"/>
      <c r="J201" s="62"/>
      <c r="K201" s="62"/>
      <c r="L201" s="62"/>
      <c r="M201" s="62"/>
      <c r="N201" s="62"/>
      <c r="O201" s="62"/>
      <c r="P201" s="62"/>
      <c r="Q201" s="62"/>
      <c r="R201" s="62"/>
      <c r="S201" s="258"/>
      <c r="T201" s="248" t="str">
        <f t="shared" si="31"/>
        <v/>
      </c>
      <c r="U201" s="249" t="str">
        <f t="shared" si="32"/>
        <v/>
      </c>
      <c r="V201" s="294" t="str">
        <f t="shared" si="28"/>
        <v/>
      </c>
      <c r="W201" s="294" t="str">
        <f>IF(((E201="")+(F201="")),"",IF(VLOOKUP(F201,Mannschaften!$A$1:$B$54,2,FALSE)&lt;&gt;E201,"Reiter Mannschaften füllen",""))</f>
        <v/>
      </c>
      <c r="X201" s="248" t="str">
        <f>IF(ISBLANK(C201),"",IF((U201&gt;(LOOKUP(E201,WKNrListe,Übersicht!$O$7:$O$46)))+(U201&lt;(LOOKUP(E201,WKNrListe,Übersicht!$P$7:$P$46))),"JG falsch",""))</f>
        <v/>
      </c>
      <c r="Y201" s="255" t="str">
        <f>IF((A201="")*(B201=""),"",IF(ISERROR(MATCH(E201,WKNrListe,0)),"WK falsch",LOOKUP(E201,WKNrListe,Übersicht!$B$7:$B$46)))</f>
        <v/>
      </c>
      <c r="Z201" s="269" t="str">
        <f>IF(((AJ201=0)*(AH201&lt;&gt;"")*(AK201="-"))+((AJ201&lt;&gt;0)*(AH201&lt;&gt;"")*(AK201="-")),IF(AG201="X",Übersicht!$C$70,Übersicht!$C$69),"-")</f>
        <v>-</v>
      </c>
      <c r="AA201" s="252" t="str">
        <f>IF((($A201="")*($B201=""))+((MID($Y201,1,4)&lt;&gt;"Wahl")*(Deckblatt!$C$14='WK-Vorlagen'!$C$82))+(Deckblatt!$C$14&lt;&gt;'WK-Vorlagen'!$C$82),"",IF(ISERROR(MATCH(VALUE(MID(G201,1,2)),Schwierigkeitsstufen!$G$7:$G$19,0)),"Gerät falsch",LOOKUP(VALUE(MID(G201,1,2)),Schwierigkeitsstufen!$G$7:$G$19,Schwierigkeitsstufen!$H$7:$H$19)))</f>
        <v/>
      </c>
      <c r="AB201" s="250" t="str">
        <f>IF((($A201="")*($B201=""))+((MID($Y201,1,4)&lt;&gt;"Wahl")*(Deckblatt!$C$14='WK-Vorlagen'!$C$82))+(Deckblatt!$C$14&lt;&gt;'WK-Vorlagen'!$C$82),"",IF(ISERROR(MATCH(VALUE(MID(H201,1,2)),Schwierigkeitsstufen!$G$7:$G$19,0)),"Gerät falsch",LOOKUP(VALUE(MID(H201,1,2)),Schwierigkeitsstufen!$G$7:$G$19,Schwierigkeitsstufen!$H$7:$H$19)))</f>
        <v/>
      </c>
      <c r="AC201" s="250" t="str">
        <f>IF((($A201="")*($B201=""))+((MID($Y201,1,4)&lt;&gt;"Wahl")*(Deckblatt!$C$14='WK-Vorlagen'!$C$82))+(Deckblatt!$C$14&lt;&gt;'WK-Vorlagen'!$C$82),"",IF(ISERROR(MATCH(VALUE(MID(I201,1,2)),Schwierigkeitsstufen!$G$7:$G$19,0)),"Gerät falsch",LOOKUP(VALUE(MID(I201,1,2)),Schwierigkeitsstufen!$G$7:$G$19,Schwierigkeitsstufen!$H$7:$H$19)))</f>
        <v/>
      </c>
      <c r="AD201" s="251" t="str">
        <f>IF((($A201="")*($B201=""))+((MID($Y201,1,4)&lt;&gt;"Wahl")*(Deckblatt!$C$14='WK-Vorlagen'!$C$82))+(Deckblatt!$C$14&lt;&gt;'WK-Vorlagen'!$C$82),"",IF(ISERROR(MATCH(VALUE(MID(J201,1,2)),Schwierigkeitsstufen!$G$7:$G$19,0)),"Gerät falsch",LOOKUP(VALUE(MID(J201,1,2)),Schwierigkeitsstufen!$G$7:$G$19,Schwierigkeitsstufen!$H$7:$H$19)))</f>
        <v/>
      </c>
      <c r="AE201" s="211"/>
      <c r="AG201" s="221" t="str">
        <f t="shared" si="27"/>
        <v/>
      </c>
      <c r="AH201" s="222" t="str">
        <f t="shared" si="29"/>
        <v/>
      </c>
      <c r="AI201" s="220">
        <f t="shared" si="34"/>
        <v>4</v>
      </c>
      <c r="AJ201" s="222">
        <f t="shared" si="30"/>
        <v>0</v>
      </c>
      <c r="AK201" s="299" t="str">
        <f>IF(ISERROR(LOOKUP(E201,WKNrListe,Übersicht!$R$7:$R$46)),"-",LOOKUP(E201,WKNrListe,Übersicht!$R$7:$R$46))</f>
        <v>-</v>
      </c>
      <c r="AL201" s="299" t="str">
        <f t="shared" si="33"/>
        <v>-</v>
      </c>
      <c r="AM201" s="303"/>
      <c r="AN201" s="174" t="str">
        <f t="shared" si="26"/>
        <v>Leer</v>
      </c>
    </row>
    <row r="202" spans="1:40" s="174" customFormat="1" ht="15" customHeight="1">
      <c r="A202" s="63"/>
      <c r="B202" s="63"/>
      <c r="C202" s="84"/>
      <c r="D202" s="85"/>
      <c r="E202" s="62"/>
      <c r="F202" s="62"/>
      <c r="G202" s="62"/>
      <c r="H202" s="62"/>
      <c r="I202" s="62"/>
      <c r="J202" s="62"/>
      <c r="K202" s="62"/>
      <c r="L202" s="62"/>
      <c r="M202" s="62"/>
      <c r="N202" s="62"/>
      <c r="O202" s="62"/>
      <c r="P202" s="62"/>
      <c r="Q202" s="62"/>
      <c r="R202" s="62"/>
      <c r="S202" s="258"/>
      <c r="T202" s="248" t="str">
        <f t="shared" si="31"/>
        <v/>
      </c>
      <c r="U202" s="249" t="str">
        <f t="shared" si="32"/>
        <v/>
      </c>
      <c r="V202" s="294" t="str">
        <f t="shared" si="28"/>
        <v/>
      </c>
      <c r="W202" s="294" t="str">
        <f>IF(((E202="")+(F202="")),"",IF(VLOOKUP(F202,Mannschaften!$A$1:$B$54,2,FALSE)&lt;&gt;E202,"Reiter Mannschaften füllen",""))</f>
        <v/>
      </c>
      <c r="X202" s="248" t="str">
        <f>IF(ISBLANK(C202),"",IF((U202&gt;(LOOKUP(E202,WKNrListe,Übersicht!$O$7:$O$46)))+(U202&lt;(LOOKUP(E202,WKNrListe,Übersicht!$P$7:$P$46))),"JG falsch",""))</f>
        <v/>
      </c>
      <c r="Y202" s="255" t="str">
        <f>IF((A202="")*(B202=""),"",IF(ISERROR(MATCH(E202,WKNrListe,0)),"WK falsch",LOOKUP(E202,WKNrListe,Übersicht!$B$7:$B$46)))</f>
        <v/>
      </c>
      <c r="Z202" s="269" t="str">
        <f>IF(((AJ202=0)*(AH202&lt;&gt;"")*(AK202="-"))+((AJ202&lt;&gt;0)*(AH202&lt;&gt;"")*(AK202="-")),IF(AG202="X",Übersicht!$C$70,Übersicht!$C$69),"-")</f>
        <v>-</v>
      </c>
      <c r="AA202" s="252" t="str">
        <f>IF((($A202="")*($B202=""))+((MID($Y202,1,4)&lt;&gt;"Wahl")*(Deckblatt!$C$14='WK-Vorlagen'!$C$82))+(Deckblatt!$C$14&lt;&gt;'WK-Vorlagen'!$C$82),"",IF(ISERROR(MATCH(VALUE(MID(G202,1,2)),Schwierigkeitsstufen!$G$7:$G$19,0)),"Gerät falsch",LOOKUP(VALUE(MID(G202,1,2)),Schwierigkeitsstufen!$G$7:$G$19,Schwierigkeitsstufen!$H$7:$H$19)))</f>
        <v/>
      </c>
      <c r="AB202" s="250" t="str">
        <f>IF((($A202="")*($B202=""))+((MID($Y202,1,4)&lt;&gt;"Wahl")*(Deckblatt!$C$14='WK-Vorlagen'!$C$82))+(Deckblatt!$C$14&lt;&gt;'WK-Vorlagen'!$C$82),"",IF(ISERROR(MATCH(VALUE(MID(H202,1,2)),Schwierigkeitsstufen!$G$7:$G$19,0)),"Gerät falsch",LOOKUP(VALUE(MID(H202,1,2)),Schwierigkeitsstufen!$G$7:$G$19,Schwierigkeitsstufen!$H$7:$H$19)))</f>
        <v/>
      </c>
      <c r="AC202" s="250" t="str">
        <f>IF((($A202="")*($B202=""))+((MID($Y202,1,4)&lt;&gt;"Wahl")*(Deckblatt!$C$14='WK-Vorlagen'!$C$82))+(Deckblatt!$C$14&lt;&gt;'WK-Vorlagen'!$C$82),"",IF(ISERROR(MATCH(VALUE(MID(I202,1,2)),Schwierigkeitsstufen!$G$7:$G$19,0)),"Gerät falsch",LOOKUP(VALUE(MID(I202,1,2)),Schwierigkeitsstufen!$G$7:$G$19,Schwierigkeitsstufen!$H$7:$H$19)))</f>
        <v/>
      </c>
      <c r="AD202" s="251" t="str">
        <f>IF((($A202="")*($B202=""))+((MID($Y202,1,4)&lt;&gt;"Wahl")*(Deckblatt!$C$14='WK-Vorlagen'!$C$82))+(Deckblatt!$C$14&lt;&gt;'WK-Vorlagen'!$C$82),"",IF(ISERROR(MATCH(VALUE(MID(J202,1,2)),Schwierigkeitsstufen!$G$7:$G$19,0)),"Gerät falsch",LOOKUP(VALUE(MID(J202,1,2)),Schwierigkeitsstufen!$G$7:$G$19,Schwierigkeitsstufen!$H$7:$H$19)))</f>
        <v/>
      </c>
      <c r="AE202" s="211"/>
      <c r="AG202" s="221" t="str">
        <f t="shared" si="27"/>
        <v/>
      </c>
      <c r="AH202" s="222" t="str">
        <f t="shared" si="29"/>
        <v/>
      </c>
      <c r="AI202" s="220">
        <f t="shared" si="34"/>
        <v>4</v>
      </c>
      <c r="AJ202" s="222">
        <f t="shared" si="30"/>
        <v>0</v>
      </c>
      <c r="AK202" s="299" t="str">
        <f>IF(ISERROR(LOOKUP(E202,WKNrListe,Übersicht!$R$7:$R$46)),"-",LOOKUP(E202,WKNrListe,Übersicht!$R$7:$R$46))</f>
        <v>-</v>
      </c>
      <c r="AL202" s="299" t="str">
        <f t="shared" si="33"/>
        <v>-</v>
      </c>
      <c r="AM202" s="303"/>
      <c r="AN202" s="174" t="str">
        <f t="shared" si="26"/>
        <v>Leer</v>
      </c>
    </row>
    <row r="203" spans="1:40" s="174" customFormat="1" ht="15" customHeight="1">
      <c r="A203" s="63"/>
      <c r="B203" s="63"/>
      <c r="C203" s="84"/>
      <c r="D203" s="85"/>
      <c r="E203" s="62"/>
      <c r="F203" s="62"/>
      <c r="G203" s="62"/>
      <c r="H203" s="62"/>
      <c r="I203" s="62"/>
      <c r="J203" s="62"/>
      <c r="K203" s="62"/>
      <c r="L203" s="62"/>
      <c r="M203" s="62"/>
      <c r="N203" s="62"/>
      <c r="O203" s="62"/>
      <c r="P203" s="62"/>
      <c r="Q203" s="62"/>
      <c r="R203" s="62"/>
      <c r="S203" s="258"/>
      <c r="T203" s="248" t="str">
        <f t="shared" si="31"/>
        <v/>
      </c>
      <c r="U203" s="249" t="str">
        <f t="shared" si="32"/>
        <v/>
      </c>
      <c r="V203" s="294" t="str">
        <f t="shared" si="28"/>
        <v/>
      </c>
      <c r="W203" s="294" t="str">
        <f>IF(((E203="")+(F203="")),"",IF(VLOOKUP(F203,Mannschaften!$A$1:$B$54,2,FALSE)&lt;&gt;E203,"Reiter Mannschaften füllen",""))</f>
        <v/>
      </c>
      <c r="X203" s="248" t="str">
        <f>IF(ISBLANK(C203),"",IF((U203&gt;(LOOKUP(E203,WKNrListe,Übersicht!$O$7:$O$46)))+(U203&lt;(LOOKUP(E203,WKNrListe,Übersicht!$P$7:$P$46))),"JG falsch",""))</f>
        <v/>
      </c>
      <c r="Y203" s="255" t="str">
        <f>IF((A203="")*(B203=""),"",IF(ISERROR(MATCH(E203,WKNrListe,0)),"WK falsch",LOOKUP(E203,WKNrListe,Übersicht!$B$7:$B$46)))</f>
        <v/>
      </c>
      <c r="Z203" s="269" t="str">
        <f>IF(((AJ203=0)*(AH203&lt;&gt;"")*(AK203="-"))+((AJ203&lt;&gt;0)*(AH203&lt;&gt;"")*(AK203="-")),IF(AG203="X",Übersicht!$C$70,Übersicht!$C$69),"-")</f>
        <v>-</v>
      </c>
      <c r="AA203" s="252" t="str">
        <f>IF((($A203="")*($B203=""))+((MID($Y203,1,4)&lt;&gt;"Wahl")*(Deckblatt!$C$14='WK-Vorlagen'!$C$82))+(Deckblatt!$C$14&lt;&gt;'WK-Vorlagen'!$C$82),"",IF(ISERROR(MATCH(VALUE(MID(G203,1,2)),Schwierigkeitsstufen!$G$7:$G$19,0)),"Gerät falsch",LOOKUP(VALUE(MID(G203,1,2)),Schwierigkeitsstufen!$G$7:$G$19,Schwierigkeitsstufen!$H$7:$H$19)))</f>
        <v/>
      </c>
      <c r="AB203" s="250" t="str">
        <f>IF((($A203="")*($B203=""))+((MID($Y203,1,4)&lt;&gt;"Wahl")*(Deckblatt!$C$14='WK-Vorlagen'!$C$82))+(Deckblatt!$C$14&lt;&gt;'WK-Vorlagen'!$C$82),"",IF(ISERROR(MATCH(VALUE(MID(H203,1,2)),Schwierigkeitsstufen!$G$7:$G$19,0)),"Gerät falsch",LOOKUP(VALUE(MID(H203,1,2)),Schwierigkeitsstufen!$G$7:$G$19,Schwierigkeitsstufen!$H$7:$H$19)))</f>
        <v/>
      </c>
      <c r="AC203" s="250" t="str">
        <f>IF((($A203="")*($B203=""))+((MID($Y203,1,4)&lt;&gt;"Wahl")*(Deckblatt!$C$14='WK-Vorlagen'!$C$82))+(Deckblatt!$C$14&lt;&gt;'WK-Vorlagen'!$C$82),"",IF(ISERROR(MATCH(VALUE(MID(I203,1,2)),Schwierigkeitsstufen!$G$7:$G$19,0)),"Gerät falsch",LOOKUP(VALUE(MID(I203,1,2)),Schwierigkeitsstufen!$G$7:$G$19,Schwierigkeitsstufen!$H$7:$H$19)))</f>
        <v/>
      </c>
      <c r="AD203" s="251" t="str">
        <f>IF((($A203="")*($B203=""))+((MID($Y203,1,4)&lt;&gt;"Wahl")*(Deckblatt!$C$14='WK-Vorlagen'!$C$82))+(Deckblatt!$C$14&lt;&gt;'WK-Vorlagen'!$C$82),"",IF(ISERROR(MATCH(VALUE(MID(J203,1,2)),Schwierigkeitsstufen!$G$7:$G$19,0)),"Gerät falsch",LOOKUP(VALUE(MID(J203,1,2)),Schwierigkeitsstufen!$G$7:$G$19,Schwierigkeitsstufen!$H$7:$H$19)))</f>
        <v/>
      </c>
      <c r="AE203" s="211"/>
      <c r="AG203" s="221" t="str">
        <f t="shared" si="27"/>
        <v/>
      </c>
      <c r="AH203" s="222" t="str">
        <f t="shared" si="29"/>
        <v/>
      </c>
      <c r="AI203" s="220">
        <f t="shared" si="34"/>
        <v>4</v>
      </c>
      <c r="AJ203" s="222">
        <f t="shared" si="30"/>
        <v>0</v>
      </c>
      <c r="AK203" s="299" t="str">
        <f>IF(ISERROR(LOOKUP(E203,WKNrListe,Übersicht!$R$7:$R$46)),"-",LOOKUP(E203,WKNrListe,Übersicht!$R$7:$R$46))</f>
        <v>-</v>
      </c>
      <c r="AL203" s="299" t="str">
        <f t="shared" si="33"/>
        <v>-</v>
      </c>
      <c r="AM203" s="303"/>
      <c r="AN203" s="174" t="str">
        <f t="shared" si="26"/>
        <v>Leer</v>
      </c>
    </row>
    <row r="204" spans="1:40" s="174" customFormat="1" ht="15" customHeight="1">
      <c r="A204" s="63"/>
      <c r="B204" s="63"/>
      <c r="C204" s="84"/>
      <c r="D204" s="85"/>
      <c r="E204" s="62"/>
      <c r="F204" s="62"/>
      <c r="G204" s="62"/>
      <c r="H204" s="62"/>
      <c r="I204" s="62"/>
      <c r="J204" s="62"/>
      <c r="K204" s="62"/>
      <c r="L204" s="62"/>
      <c r="M204" s="62"/>
      <c r="N204" s="62"/>
      <c r="O204" s="62"/>
      <c r="P204" s="62"/>
      <c r="Q204" s="62"/>
      <c r="R204" s="62"/>
      <c r="S204" s="258"/>
      <c r="T204" s="248" t="str">
        <f t="shared" si="31"/>
        <v/>
      </c>
      <c r="U204" s="249" t="str">
        <f t="shared" si="32"/>
        <v/>
      </c>
      <c r="V204" s="294" t="str">
        <f t="shared" si="28"/>
        <v/>
      </c>
      <c r="W204" s="294" t="str">
        <f>IF(((E204="")+(F204="")),"",IF(VLOOKUP(F204,Mannschaften!$A$1:$B$54,2,FALSE)&lt;&gt;E204,"Reiter Mannschaften füllen",""))</f>
        <v/>
      </c>
      <c r="X204" s="248" t="str">
        <f>IF(ISBLANK(C204),"",IF((U204&gt;(LOOKUP(E204,WKNrListe,Übersicht!$O$7:$O$46)))+(U204&lt;(LOOKUP(E204,WKNrListe,Übersicht!$P$7:$P$46))),"JG falsch",""))</f>
        <v/>
      </c>
      <c r="Y204" s="255" t="str">
        <f>IF((A204="")*(B204=""),"",IF(ISERROR(MATCH(E204,WKNrListe,0)),"WK falsch",LOOKUP(E204,WKNrListe,Übersicht!$B$7:$B$46)))</f>
        <v/>
      </c>
      <c r="Z204" s="269" t="str">
        <f>IF(((AJ204=0)*(AH204&lt;&gt;"")*(AK204="-"))+((AJ204&lt;&gt;0)*(AH204&lt;&gt;"")*(AK204="-")),IF(AG204="X",Übersicht!$C$70,Übersicht!$C$69),"-")</f>
        <v>-</v>
      </c>
      <c r="AA204" s="252" t="str">
        <f>IF((($A204="")*($B204=""))+((MID($Y204,1,4)&lt;&gt;"Wahl")*(Deckblatt!$C$14='WK-Vorlagen'!$C$82))+(Deckblatt!$C$14&lt;&gt;'WK-Vorlagen'!$C$82),"",IF(ISERROR(MATCH(VALUE(MID(G204,1,2)),Schwierigkeitsstufen!$G$7:$G$19,0)),"Gerät falsch",LOOKUP(VALUE(MID(G204,1,2)),Schwierigkeitsstufen!$G$7:$G$19,Schwierigkeitsstufen!$H$7:$H$19)))</f>
        <v/>
      </c>
      <c r="AB204" s="250" t="str">
        <f>IF((($A204="")*($B204=""))+((MID($Y204,1,4)&lt;&gt;"Wahl")*(Deckblatt!$C$14='WK-Vorlagen'!$C$82))+(Deckblatt!$C$14&lt;&gt;'WK-Vorlagen'!$C$82),"",IF(ISERROR(MATCH(VALUE(MID(H204,1,2)),Schwierigkeitsstufen!$G$7:$G$19,0)),"Gerät falsch",LOOKUP(VALUE(MID(H204,1,2)),Schwierigkeitsstufen!$G$7:$G$19,Schwierigkeitsstufen!$H$7:$H$19)))</f>
        <v/>
      </c>
      <c r="AC204" s="250" t="str">
        <f>IF((($A204="")*($B204=""))+((MID($Y204,1,4)&lt;&gt;"Wahl")*(Deckblatt!$C$14='WK-Vorlagen'!$C$82))+(Deckblatt!$C$14&lt;&gt;'WK-Vorlagen'!$C$82),"",IF(ISERROR(MATCH(VALUE(MID(I204,1,2)),Schwierigkeitsstufen!$G$7:$G$19,0)),"Gerät falsch",LOOKUP(VALUE(MID(I204,1,2)),Schwierigkeitsstufen!$G$7:$G$19,Schwierigkeitsstufen!$H$7:$H$19)))</f>
        <v/>
      </c>
      <c r="AD204" s="251" t="str">
        <f>IF((($A204="")*($B204=""))+((MID($Y204,1,4)&lt;&gt;"Wahl")*(Deckblatt!$C$14='WK-Vorlagen'!$C$82))+(Deckblatt!$C$14&lt;&gt;'WK-Vorlagen'!$C$82),"",IF(ISERROR(MATCH(VALUE(MID(J204,1,2)),Schwierigkeitsstufen!$G$7:$G$19,0)),"Gerät falsch",LOOKUP(VALUE(MID(J204,1,2)),Schwierigkeitsstufen!$G$7:$G$19,Schwierigkeitsstufen!$H$7:$H$19)))</f>
        <v/>
      </c>
      <c r="AE204" s="211"/>
      <c r="AG204" s="221" t="str">
        <f t="shared" si="27"/>
        <v/>
      </c>
      <c r="AH204" s="222" t="str">
        <f t="shared" si="29"/>
        <v/>
      </c>
      <c r="AI204" s="220">
        <f t="shared" si="34"/>
        <v>4</v>
      </c>
      <c r="AJ204" s="222">
        <f t="shared" si="30"/>
        <v>0</v>
      </c>
      <c r="AK204" s="299" t="str">
        <f>IF(ISERROR(LOOKUP(E204,WKNrListe,Übersicht!$R$7:$R$46)),"-",LOOKUP(E204,WKNrListe,Übersicht!$R$7:$R$46))</f>
        <v>-</v>
      </c>
      <c r="AL204" s="299" t="str">
        <f t="shared" si="33"/>
        <v>-</v>
      </c>
      <c r="AM204" s="303"/>
      <c r="AN204" s="174" t="str">
        <f t="shared" si="26"/>
        <v>Leer</v>
      </c>
    </row>
    <row r="205" spans="1:40" s="174" customFormat="1" ht="15" customHeight="1">
      <c r="A205" s="63"/>
      <c r="B205" s="63"/>
      <c r="C205" s="84"/>
      <c r="D205" s="85"/>
      <c r="E205" s="62"/>
      <c r="F205" s="62"/>
      <c r="G205" s="62"/>
      <c r="H205" s="62"/>
      <c r="I205" s="62"/>
      <c r="J205" s="62"/>
      <c r="K205" s="62"/>
      <c r="L205" s="62"/>
      <c r="M205" s="62"/>
      <c r="N205" s="62"/>
      <c r="O205" s="62"/>
      <c r="P205" s="62"/>
      <c r="Q205" s="62"/>
      <c r="R205" s="62"/>
      <c r="S205" s="258"/>
      <c r="T205" s="248" t="str">
        <f t="shared" si="31"/>
        <v/>
      </c>
      <c r="U205" s="249" t="str">
        <f t="shared" si="32"/>
        <v/>
      </c>
      <c r="V205" s="294" t="str">
        <f t="shared" si="28"/>
        <v/>
      </c>
      <c r="W205" s="294" t="str">
        <f>IF(((E205="")+(F205="")),"",IF(VLOOKUP(F205,Mannschaften!$A$1:$B$54,2,FALSE)&lt;&gt;E205,"Reiter Mannschaften füllen",""))</f>
        <v/>
      </c>
      <c r="X205" s="248" t="str">
        <f>IF(ISBLANK(C205),"",IF((U205&gt;(LOOKUP(E205,WKNrListe,Übersicht!$O$7:$O$46)))+(U205&lt;(LOOKUP(E205,WKNrListe,Übersicht!$P$7:$P$46))),"JG falsch",""))</f>
        <v/>
      </c>
      <c r="Y205" s="255" t="str">
        <f>IF((A205="")*(B205=""),"",IF(ISERROR(MATCH(E205,WKNrListe,0)),"WK falsch",LOOKUP(E205,WKNrListe,Übersicht!$B$7:$B$46)))</f>
        <v/>
      </c>
      <c r="Z205" s="269" t="str">
        <f>IF(((AJ205=0)*(AH205&lt;&gt;"")*(AK205="-"))+((AJ205&lt;&gt;0)*(AH205&lt;&gt;"")*(AK205="-")),IF(AG205="X",Übersicht!$C$70,Übersicht!$C$69),"-")</f>
        <v>-</v>
      </c>
      <c r="AA205" s="252" t="str">
        <f>IF((($A205="")*($B205=""))+((MID($Y205,1,4)&lt;&gt;"Wahl")*(Deckblatt!$C$14='WK-Vorlagen'!$C$82))+(Deckblatt!$C$14&lt;&gt;'WK-Vorlagen'!$C$82),"",IF(ISERROR(MATCH(VALUE(MID(G205,1,2)),Schwierigkeitsstufen!$G$7:$G$19,0)),"Gerät falsch",LOOKUP(VALUE(MID(G205,1,2)),Schwierigkeitsstufen!$G$7:$G$19,Schwierigkeitsstufen!$H$7:$H$19)))</f>
        <v/>
      </c>
      <c r="AB205" s="250" t="str">
        <f>IF((($A205="")*($B205=""))+((MID($Y205,1,4)&lt;&gt;"Wahl")*(Deckblatt!$C$14='WK-Vorlagen'!$C$82))+(Deckblatt!$C$14&lt;&gt;'WK-Vorlagen'!$C$82),"",IF(ISERROR(MATCH(VALUE(MID(H205,1,2)),Schwierigkeitsstufen!$G$7:$G$19,0)),"Gerät falsch",LOOKUP(VALUE(MID(H205,1,2)),Schwierigkeitsstufen!$G$7:$G$19,Schwierigkeitsstufen!$H$7:$H$19)))</f>
        <v/>
      </c>
      <c r="AC205" s="250" t="str">
        <f>IF((($A205="")*($B205=""))+((MID($Y205,1,4)&lt;&gt;"Wahl")*(Deckblatt!$C$14='WK-Vorlagen'!$C$82))+(Deckblatt!$C$14&lt;&gt;'WK-Vorlagen'!$C$82),"",IF(ISERROR(MATCH(VALUE(MID(I205,1,2)),Schwierigkeitsstufen!$G$7:$G$19,0)),"Gerät falsch",LOOKUP(VALUE(MID(I205,1,2)),Schwierigkeitsstufen!$G$7:$G$19,Schwierigkeitsstufen!$H$7:$H$19)))</f>
        <v/>
      </c>
      <c r="AD205" s="251" t="str">
        <f>IF((($A205="")*($B205=""))+((MID($Y205,1,4)&lt;&gt;"Wahl")*(Deckblatt!$C$14='WK-Vorlagen'!$C$82))+(Deckblatt!$C$14&lt;&gt;'WK-Vorlagen'!$C$82),"",IF(ISERROR(MATCH(VALUE(MID(J205,1,2)),Schwierigkeitsstufen!$G$7:$G$19,0)),"Gerät falsch",LOOKUP(VALUE(MID(J205,1,2)),Schwierigkeitsstufen!$G$7:$G$19,Schwierigkeitsstufen!$H$7:$H$19)))</f>
        <v/>
      </c>
      <c r="AE205" s="211"/>
      <c r="AG205" s="221" t="str">
        <f t="shared" si="27"/>
        <v/>
      </c>
      <c r="AH205" s="222" t="str">
        <f t="shared" si="29"/>
        <v/>
      </c>
      <c r="AI205" s="220">
        <f t="shared" si="34"/>
        <v>4</v>
      </c>
      <c r="AJ205" s="222">
        <f t="shared" si="30"/>
        <v>0</v>
      </c>
      <c r="AK205" s="299" t="str">
        <f>IF(ISERROR(LOOKUP(E205,WKNrListe,Übersicht!$R$7:$R$46)),"-",LOOKUP(E205,WKNrListe,Übersicht!$R$7:$R$46))</f>
        <v>-</v>
      </c>
      <c r="AL205" s="299" t="str">
        <f t="shared" si="33"/>
        <v>-</v>
      </c>
      <c r="AM205" s="303"/>
      <c r="AN205" s="174" t="str">
        <f t="shared" si="26"/>
        <v>Leer</v>
      </c>
    </row>
    <row r="206" spans="1:40" s="174" customFormat="1" ht="15" customHeight="1">
      <c r="A206" s="63"/>
      <c r="B206" s="63"/>
      <c r="C206" s="84"/>
      <c r="D206" s="85"/>
      <c r="E206" s="62"/>
      <c r="F206" s="62"/>
      <c r="G206" s="62"/>
      <c r="H206" s="62"/>
      <c r="I206" s="62"/>
      <c r="J206" s="62"/>
      <c r="K206" s="62"/>
      <c r="L206" s="62"/>
      <c r="M206" s="62"/>
      <c r="N206" s="62"/>
      <c r="O206" s="62"/>
      <c r="P206" s="62"/>
      <c r="Q206" s="62"/>
      <c r="R206" s="62"/>
      <c r="S206" s="258"/>
      <c r="T206" s="248" t="str">
        <f t="shared" si="31"/>
        <v/>
      </c>
      <c r="U206" s="249" t="str">
        <f t="shared" si="32"/>
        <v/>
      </c>
      <c r="V206" s="294" t="str">
        <f t="shared" si="28"/>
        <v/>
      </c>
      <c r="W206" s="294" t="str">
        <f>IF(((E206="")+(F206="")),"",IF(VLOOKUP(F206,Mannschaften!$A$1:$B$54,2,FALSE)&lt;&gt;E206,"Reiter Mannschaften füllen",""))</f>
        <v/>
      </c>
      <c r="X206" s="248" t="str">
        <f>IF(ISBLANK(C206),"",IF((U206&gt;(LOOKUP(E206,WKNrListe,Übersicht!$O$7:$O$46)))+(U206&lt;(LOOKUP(E206,WKNrListe,Übersicht!$P$7:$P$46))),"JG falsch",""))</f>
        <v/>
      </c>
      <c r="Y206" s="255" t="str">
        <f>IF((A206="")*(B206=""),"",IF(ISERROR(MATCH(E206,WKNrListe,0)),"WK falsch",LOOKUP(E206,WKNrListe,Übersicht!$B$7:$B$46)))</f>
        <v/>
      </c>
      <c r="Z206" s="269" t="str">
        <f>IF(((AJ206=0)*(AH206&lt;&gt;"")*(AK206="-"))+((AJ206&lt;&gt;0)*(AH206&lt;&gt;"")*(AK206="-")),IF(AG206="X",Übersicht!$C$70,Übersicht!$C$69),"-")</f>
        <v>-</v>
      </c>
      <c r="AA206" s="252" t="str">
        <f>IF((($A206="")*($B206=""))+((MID($Y206,1,4)&lt;&gt;"Wahl")*(Deckblatt!$C$14='WK-Vorlagen'!$C$82))+(Deckblatt!$C$14&lt;&gt;'WK-Vorlagen'!$C$82),"",IF(ISERROR(MATCH(VALUE(MID(G206,1,2)),Schwierigkeitsstufen!$G$7:$G$19,0)),"Gerät falsch",LOOKUP(VALUE(MID(G206,1,2)),Schwierigkeitsstufen!$G$7:$G$19,Schwierigkeitsstufen!$H$7:$H$19)))</f>
        <v/>
      </c>
      <c r="AB206" s="250" t="str">
        <f>IF((($A206="")*($B206=""))+((MID($Y206,1,4)&lt;&gt;"Wahl")*(Deckblatt!$C$14='WK-Vorlagen'!$C$82))+(Deckblatt!$C$14&lt;&gt;'WK-Vorlagen'!$C$82),"",IF(ISERROR(MATCH(VALUE(MID(H206,1,2)),Schwierigkeitsstufen!$G$7:$G$19,0)),"Gerät falsch",LOOKUP(VALUE(MID(H206,1,2)),Schwierigkeitsstufen!$G$7:$G$19,Schwierigkeitsstufen!$H$7:$H$19)))</f>
        <v/>
      </c>
      <c r="AC206" s="250" t="str">
        <f>IF((($A206="")*($B206=""))+((MID($Y206,1,4)&lt;&gt;"Wahl")*(Deckblatt!$C$14='WK-Vorlagen'!$C$82))+(Deckblatt!$C$14&lt;&gt;'WK-Vorlagen'!$C$82),"",IF(ISERROR(MATCH(VALUE(MID(I206,1,2)),Schwierigkeitsstufen!$G$7:$G$19,0)),"Gerät falsch",LOOKUP(VALUE(MID(I206,1,2)),Schwierigkeitsstufen!$G$7:$G$19,Schwierigkeitsstufen!$H$7:$H$19)))</f>
        <v/>
      </c>
      <c r="AD206" s="251" t="str">
        <f>IF((($A206="")*($B206=""))+((MID($Y206,1,4)&lt;&gt;"Wahl")*(Deckblatt!$C$14='WK-Vorlagen'!$C$82))+(Deckblatt!$C$14&lt;&gt;'WK-Vorlagen'!$C$82),"",IF(ISERROR(MATCH(VALUE(MID(J206,1,2)),Schwierigkeitsstufen!$G$7:$G$19,0)),"Gerät falsch",LOOKUP(VALUE(MID(J206,1,2)),Schwierigkeitsstufen!$G$7:$G$19,Schwierigkeitsstufen!$H$7:$H$19)))</f>
        <v/>
      </c>
      <c r="AE206" s="211"/>
      <c r="AG206" s="221" t="str">
        <f t="shared" si="27"/>
        <v/>
      </c>
      <c r="AH206" s="222" t="str">
        <f t="shared" si="29"/>
        <v/>
      </c>
      <c r="AI206" s="220">
        <f t="shared" si="34"/>
        <v>4</v>
      </c>
      <c r="AJ206" s="222">
        <f t="shared" si="30"/>
        <v>0</v>
      </c>
      <c r="AK206" s="299" t="str">
        <f>IF(ISERROR(LOOKUP(E206,WKNrListe,Übersicht!$R$7:$R$46)),"-",LOOKUP(E206,WKNrListe,Übersicht!$R$7:$R$46))</f>
        <v>-</v>
      </c>
      <c r="AL206" s="299" t="str">
        <f t="shared" si="33"/>
        <v>-</v>
      </c>
      <c r="AM206" s="303"/>
      <c r="AN206" s="174" t="str">
        <f t="shared" si="26"/>
        <v>Leer</v>
      </c>
    </row>
    <row r="207" spans="1:40" s="174" customFormat="1" ht="15" customHeight="1">
      <c r="A207" s="63"/>
      <c r="B207" s="63"/>
      <c r="C207" s="84"/>
      <c r="D207" s="85"/>
      <c r="E207" s="62"/>
      <c r="F207" s="62"/>
      <c r="G207" s="62"/>
      <c r="H207" s="62"/>
      <c r="I207" s="62"/>
      <c r="J207" s="62"/>
      <c r="K207" s="62"/>
      <c r="L207" s="62"/>
      <c r="M207" s="62"/>
      <c r="N207" s="62"/>
      <c r="O207" s="62"/>
      <c r="P207" s="62"/>
      <c r="Q207" s="62"/>
      <c r="R207" s="62"/>
      <c r="S207" s="258"/>
      <c r="T207" s="248" t="str">
        <f t="shared" si="31"/>
        <v/>
      </c>
      <c r="U207" s="249" t="str">
        <f t="shared" si="32"/>
        <v/>
      </c>
      <c r="V207" s="294" t="str">
        <f t="shared" si="28"/>
        <v/>
      </c>
      <c r="W207" s="294" t="str">
        <f>IF(((E207="")+(F207="")),"",IF(VLOOKUP(F207,Mannschaften!$A$1:$B$54,2,FALSE)&lt;&gt;E207,"Reiter Mannschaften füllen",""))</f>
        <v/>
      </c>
      <c r="X207" s="248" t="str">
        <f>IF(ISBLANK(C207),"",IF((U207&gt;(LOOKUP(E207,WKNrListe,Übersicht!$O$7:$O$46)))+(U207&lt;(LOOKUP(E207,WKNrListe,Übersicht!$P$7:$P$46))),"JG falsch",""))</f>
        <v/>
      </c>
      <c r="Y207" s="255" t="str">
        <f>IF((A207="")*(B207=""),"",IF(ISERROR(MATCH(E207,WKNrListe,0)),"WK falsch",LOOKUP(E207,WKNrListe,Übersicht!$B$7:$B$46)))</f>
        <v/>
      </c>
      <c r="Z207" s="269" t="str">
        <f>IF(((AJ207=0)*(AH207&lt;&gt;"")*(AK207="-"))+((AJ207&lt;&gt;0)*(AH207&lt;&gt;"")*(AK207="-")),IF(AG207="X",Übersicht!$C$70,Übersicht!$C$69),"-")</f>
        <v>-</v>
      </c>
      <c r="AA207" s="252" t="str">
        <f>IF((($A207="")*($B207=""))+((MID($Y207,1,4)&lt;&gt;"Wahl")*(Deckblatt!$C$14='WK-Vorlagen'!$C$82))+(Deckblatt!$C$14&lt;&gt;'WK-Vorlagen'!$C$82),"",IF(ISERROR(MATCH(VALUE(MID(G207,1,2)),Schwierigkeitsstufen!$G$7:$G$19,0)),"Gerät falsch",LOOKUP(VALUE(MID(G207,1,2)),Schwierigkeitsstufen!$G$7:$G$19,Schwierigkeitsstufen!$H$7:$H$19)))</f>
        <v/>
      </c>
      <c r="AB207" s="250" t="str">
        <f>IF((($A207="")*($B207=""))+((MID($Y207,1,4)&lt;&gt;"Wahl")*(Deckblatt!$C$14='WK-Vorlagen'!$C$82))+(Deckblatt!$C$14&lt;&gt;'WK-Vorlagen'!$C$82),"",IF(ISERROR(MATCH(VALUE(MID(H207,1,2)),Schwierigkeitsstufen!$G$7:$G$19,0)),"Gerät falsch",LOOKUP(VALUE(MID(H207,1,2)),Schwierigkeitsstufen!$G$7:$G$19,Schwierigkeitsstufen!$H$7:$H$19)))</f>
        <v/>
      </c>
      <c r="AC207" s="250" t="str">
        <f>IF((($A207="")*($B207=""))+((MID($Y207,1,4)&lt;&gt;"Wahl")*(Deckblatt!$C$14='WK-Vorlagen'!$C$82))+(Deckblatt!$C$14&lt;&gt;'WK-Vorlagen'!$C$82),"",IF(ISERROR(MATCH(VALUE(MID(I207,1,2)),Schwierigkeitsstufen!$G$7:$G$19,0)),"Gerät falsch",LOOKUP(VALUE(MID(I207,1,2)),Schwierigkeitsstufen!$G$7:$G$19,Schwierigkeitsstufen!$H$7:$H$19)))</f>
        <v/>
      </c>
      <c r="AD207" s="251" t="str">
        <f>IF((($A207="")*($B207=""))+((MID($Y207,1,4)&lt;&gt;"Wahl")*(Deckblatt!$C$14='WK-Vorlagen'!$C$82))+(Deckblatt!$C$14&lt;&gt;'WK-Vorlagen'!$C$82),"",IF(ISERROR(MATCH(VALUE(MID(J207,1,2)),Schwierigkeitsstufen!$G$7:$G$19,0)),"Gerät falsch",LOOKUP(VALUE(MID(J207,1,2)),Schwierigkeitsstufen!$G$7:$G$19,Schwierigkeitsstufen!$H$7:$H$19)))</f>
        <v/>
      </c>
      <c r="AE207" s="211"/>
      <c r="AG207" s="221" t="str">
        <f t="shared" si="27"/>
        <v/>
      </c>
      <c r="AH207" s="222" t="str">
        <f t="shared" si="29"/>
        <v/>
      </c>
      <c r="AI207" s="220">
        <f t="shared" si="34"/>
        <v>4</v>
      </c>
      <c r="AJ207" s="222">
        <f t="shared" si="30"/>
        <v>0</v>
      </c>
      <c r="AK207" s="299" t="str">
        <f>IF(ISERROR(LOOKUP(E207,WKNrListe,Übersicht!$R$7:$R$46)),"-",LOOKUP(E207,WKNrListe,Übersicht!$R$7:$R$46))</f>
        <v>-</v>
      </c>
      <c r="AL207" s="299" t="str">
        <f t="shared" si="33"/>
        <v>-</v>
      </c>
      <c r="AM207" s="303"/>
      <c r="AN207" s="174" t="str">
        <f t="shared" si="26"/>
        <v>Leer</v>
      </c>
    </row>
    <row r="208" spans="1:40" s="174" customFormat="1" ht="15" customHeight="1">
      <c r="A208" s="63"/>
      <c r="B208" s="63"/>
      <c r="C208" s="84"/>
      <c r="D208" s="85"/>
      <c r="E208" s="62"/>
      <c r="F208" s="62"/>
      <c r="G208" s="62"/>
      <c r="H208" s="62"/>
      <c r="I208" s="62"/>
      <c r="J208" s="62"/>
      <c r="K208" s="62"/>
      <c r="L208" s="62"/>
      <c r="M208" s="62"/>
      <c r="N208" s="62"/>
      <c r="O208" s="62"/>
      <c r="P208" s="62"/>
      <c r="Q208" s="62"/>
      <c r="R208" s="62"/>
      <c r="S208" s="258"/>
      <c r="T208" s="248" t="str">
        <f t="shared" si="31"/>
        <v/>
      </c>
      <c r="U208" s="249" t="str">
        <f t="shared" si="32"/>
        <v/>
      </c>
      <c r="V208" s="294" t="str">
        <f t="shared" si="28"/>
        <v/>
      </c>
      <c r="W208" s="294" t="str">
        <f>IF(((E208="")+(F208="")),"",IF(VLOOKUP(F208,Mannschaften!$A$1:$B$54,2,FALSE)&lt;&gt;E208,"Reiter Mannschaften füllen",""))</f>
        <v/>
      </c>
      <c r="X208" s="248" t="str">
        <f>IF(ISBLANK(C208),"",IF((U208&gt;(LOOKUP(E208,WKNrListe,Übersicht!$O$7:$O$46)))+(U208&lt;(LOOKUP(E208,WKNrListe,Übersicht!$P$7:$P$46))),"JG falsch",""))</f>
        <v/>
      </c>
      <c r="Y208" s="255" t="str">
        <f>IF((A208="")*(B208=""),"",IF(ISERROR(MATCH(E208,WKNrListe,0)),"WK falsch",LOOKUP(E208,WKNrListe,Übersicht!$B$7:$B$46)))</f>
        <v/>
      </c>
      <c r="Z208" s="269" t="str">
        <f>IF(((AJ208=0)*(AH208&lt;&gt;"")*(AK208="-"))+((AJ208&lt;&gt;0)*(AH208&lt;&gt;"")*(AK208="-")),IF(AG208="X",Übersicht!$C$70,Übersicht!$C$69),"-")</f>
        <v>-</v>
      </c>
      <c r="AA208" s="252" t="str">
        <f>IF((($A208="")*($B208=""))+((MID($Y208,1,4)&lt;&gt;"Wahl")*(Deckblatt!$C$14='WK-Vorlagen'!$C$82))+(Deckblatt!$C$14&lt;&gt;'WK-Vorlagen'!$C$82),"",IF(ISERROR(MATCH(VALUE(MID(G208,1,2)),Schwierigkeitsstufen!$G$7:$G$19,0)),"Gerät falsch",LOOKUP(VALUE(MID(G208,1,2)),Schwierigkeitsstufen!$G$7:$G$19,Schwierigkeitsstufen!$H$7:$H$19)))</f>
        <v/>
      </c>
      <c r="AB208" s="250" t="str">
        <f>IF((($A208="")*($B208=""))+((MID($Y208,1,4)&lt;&gt;"Wahl")*(Deckblatt!$C$14='WK-Vorlagen'!$C$82))+(Deckblatt!$C$14&lt;&gt;'WK-Vorlagen'!$C$82),"",IF(ISERROR(MATCH(VALUE(MID(H208,1,2)),Schwierigkeitsstufen!$G$7:$G$19,0)),"Gerät falsch",LOOKUP(VALUE(MID(H208,1,2)),Schwierigkeitsstufen!$G$7:$G$19,Schwierigkeitsstufen!$H$7:$H$19)))</f>
        <v/>
      </c>
      <c r="AC208" s="250" t="str">
        <f>IF((($A208="")*($B208=""))+((MID($Y208,1,4)&lt;&gt;"Wahl")*(Deckblatt!$C$14='WK-Vorlagen'!$C$82))+(Deckblatt!$C$14&lt;&gt;'WK-Vorlagen'!$C$82),"",IF(ISERROR(MATCH(VALUE(MID(I208,1,2)),Schwierigkeitsstufen!$G$7:$G$19,0)),"Gerät falsch",LOOKUP(VALUE(MID(I208,1,2)),Schwierigkeitsstufen!$G$7:$G$19,Schwierigkeitsstufen!$H$7:$H$19)))</f>
        <v/>
      </c>
      <c r="AD208" s="251" t="str">
        <f>IF((($A208="")*($B208=""))+((MID($Y208,1,4)&lt;&gt;"Wahl")*(Deckblatt!$C$14='WK-Vorlagen'!$C$82))+(Deckblatt!$C$14&lt;&gt;'WK-Vorlagen'!$C$82),"",IF(ISERROR(MATCH(VALUE(MID(J208,1,2)),Schwierigkeitsstufen!$G$7:$G$19,0)),"Gerät falsch",LOOKUP(VALUE(MID(J208,1,2)),Schwierigkeitsstufen!$G$7:$G$19,Schwierigkeitsstufen!$H$7:$H$19)))</f>
        <v/>
      </c>
      <c r="AE208" s="211"/>
      <c r="AG208" s="221" t="str">
        <f t="shared" si="27"/>
        <v/>
      </c>
      <c r="AH208" s="222" t="str">
        <f t="shared" si="29"/>
        <v/>
      </c>
      <c r="AI208" s="220">
        <f t="shared" si="34"/>
        <v>4</v>
      </c>
      <c r="AJ208" s="222">
        <f t="shared" si="30"/>
        <v>0</v>
      </c>
      <c r="AK208" s="299" t="str">
        <f>IF(ISERROR(LOOKUP(E208,WKNrListe,Übersicht!$R$7:$R$46)),"-",LOOKUP(E208,WKNrListe,Übersicht!$R$7:$R$46))</f>
        <v>-</v>
      </c>
      <c r="AL208" s="299" t="str">
        <f t="shared" si="33"/>
        <v>-</v>
      </c>
      <c r="AM208" s="303"/>
      <c r="AN208" s="174" t="str">
        <f t="shared" si="26"/>
        <v>Leer</v>
      </c>
    </row>
    <row r="209" spans="1:40" s="174" customFormat="1" ht="15" customHeight="1">
      <c r="A209" s="63"/>
      <c r="B209" s="63"/>
      <c r="C209" s="84"/>
      <c r="D209" s="85"/>
      <c r="E209" s="62"/>
      <c r="F209" s="62"/>
      <c r="G209" s="62"/>
      <c r="H209" s="62"/>
      <c r="I209" s="62"/>
      <c r="J209" s="62"/>
      <c r="K209" s="62"/>
      <c r="L209" s="62"/>
      <c r="M209" s="62"/>
      <c r="N209" s="62"/>
      <c r="O209" s="62"/>
      <c r="P209" s="62"/>
      <c r="Q209" s="62"/>
      <c r="R209" s="62"/>
      <c r="S209" s="258"/>
      <c r="T209" s="248" t="str">
        <f t="shared" si="31"/>
        <v/>
      </c>
      <c r="U209" s="249" t="str">
        <f t="shared" si="32"/>
        <v/>
      </c>
      <c r="V209" s="294" t="str">
        <f t="shared" si="28"/>
        <v/>
      </c>
      <c r="W209" s="294" t="str">
        <f>IF(((E209="")+(F209="")),"",IF(VLOOKUP(F209,Mannschaften!$A$1:$B$54,2,FALSE)&lt;&gt;E209,"Reiter Mannschaften füllen",""))</f>
        <v/>
      </c>
      <c r="X209" s="248" t="str">
        <f>IF(ISBLANK(C209),"",IF((U209&gt;(LOOKUP(E209,WKNrListe,Übersicht!$O$7:$O$46)))+(U209&lt;(LOOKUP(E209,WKNrListe,Übersicht!$P$7:$P$46))),"JG falsch",""))</f>
        <v/>
      </c>
      <c r="Y209" s="255" t="str">
        <f>IF((A209="")*(B209=""),"",IF(ISERROR(MATCH(E209,WKNrListe,0)),"WK falsch",LOOKUP(E209,WKNrListe,Übersicht!$B$7:$B$46)))</f>
        <v/>
      </c>
      <c r="Z209" s="269" t="str">
        <f>IF(((AJ209=0)*(AH209&lt;&gt;"")*(AK209="-"))+((AJ209&lt;&gt;0)*(AH209&lt;&gt;"")*(AK209="-")),IF(AG209="X",Übersicht!$C$70,Übersicht!$C$69),"-")</f>
        <v>-</v>
      </c>
      <c r="AA209" s="252" t="str">
        <f>IF((($A209="")*($B209=""))+((MID($Y209,1,4)&lt;&gt;"Wahl")*(Deckblatt!$C$14='WK-Vorlagen'!$C$82))+(Deckblatt!$C$14&lt;&gt;'WK-Vorlagen'!$C$82),"",IF(ISERROR(MATCH(VALUE(MID(G209,1,2)),Schwierigkeitsstufen!$G$7:$G$19,0)),"Gerät falsch",LOOKUP(VALUE(MID(G209,1,2)),Schwierigkeitsstufen!$G$7:$G$19,Schwierigkeitsstufen!$H$7:$H$19)))</f>
        <v/>
      </c>
      <c r="AB209" s="250" t="str">
        <f>IF((($A209="")*($B209=""))+((MID($Y209,1,4)&lt;&gt;"Wahl")*(Deckblatt!$C$14='WK-Vorlagen'!$C$82))+(Deckblatt!$C$14&lt;&gt;'WK-Vorlagen'!$C$82),"",IF(ISERROR(MATCH(VALUE(MID(H209,1,2)),Schwierigkeitsstufen!$G$7:$G$19,0)),"Gerät falsch",LOOKUP(VALUE(MID(H209,1,2)),Schwierigkeitsstufen!$G$7:$G$19,Schwierigkeitsstufen!$H$7:$H$19)))</f>
        <v/>
      </c>
      <c r="AC209" s="250" t="str">
        <f>IF((($A209="")*($B209=""))+((MID($Y209,1,4)&lt;&gt;"Wahl")*(Deckblatt!$C$14='WK-Vorlagen'!$C$82))+(Deckblatt!$C$14&lt;&gt;'WK-Vorlagen'!$C$82),"",IF(ISERROR(MATCH(VALUE(MID(I209,1,2)),Schwierigkeitsstufen!$G$7:$G$19,0)),"Gerät falsch",LOOKUP(VALUE(MID(I209,1,2)),Schwierigkeitsstufen!$G$7:$G$19,Schwierigkeitsstufen!$H$7:$H$19)))</f>
        <v/>
      </c>
      <c r="AD209" s="251" t="str">
        <f>IF((($A209="")*($B209=""))+((MID($Y209,1,4)&lt;&gt;"Wahl")*(Deckblatt!$C$14='WK-Vorlagen'!$C$82))+(Deckblatt!$C$14&lt;&gt;'WK-Vorlagen'!$C$82),"",IF(ISERROR(MATCH(VALUE(MID(J209,1,2)),Schwierigkeitsstufen!$G$7:$G$19,0)),"Gerät falsch",LOOKUP(VALUE(MID(J209,1,2)),Schwierigkeitsstufen!$G$7:$G$19,Schwierigkeitsstufen!$H$7:$H$19)))</f>
        <v/>
      </c>
      <c r="AE209" s="211"/>
      <c r="AG209" s="221" t="str">
        <f t="shared" si="27"/>
        <v/>
      </c>
      <c r="AH209" s="222" t="str">
        <f t="shared" si="29"/>
        <v/>
      </c>
      <c r="AI209" s="220">
        <f t="shared" si="34"/>
        <v>4</v>
      </c>
      <c r="AJ209" s="222">
        <f t="shared" si="30"/>
        <v>0</v>
      </c>
      <c r="AK209" s="299" t="str">
        <f>IF(ISERROR(LOOKUP(E209,WKNrListe,Übersicht!$R$7:$R$46)),"-",LOOKUP(E209,WKNrListe,Übersicht!$R$7:$R$46))</f>
        <v>-</v>
      </c>
      <c r="AL209" s="299" t="str">
        <f t="shared" si="33"/>
        <v>-</v>
      </c>
      <c r="AM209" s="303"/>
      <c r="AN209" s="174" t="str">
        <f t="shared" si="26"/>
        <v>Leer</v>
      </c>
    </row>
    <row r="210" spans="1:40" s="174" customFormat="1" ht="15" customHeight="1">
      <c r="A210" s="63"/>
      <c r="B210" s="63"/>
      <c r="C210" s="84"/>
      <c r="D210" s="85"/>
      <c r="E210" s="62"/>
      <c r="F210" s="62"/>
      <c r="G210" s="62"/>
      <c r="H210" s="62"/>
      <c r="I210" s="62"/>
      <c r="J210" s="62"/>
      <c r="K210" s="62"/>
      <c r="L210" s="62"/>
      <c r="M210" s="62"/>
      <c r="N210" s="62"/>
      <c r="O210" s="62"/>
      <c r="P210" s="62"/>
      <c r="Q210" s="62"/>
      <c r="R210" s="62"/>
      <c r="S210" s="258"/>
      <c r="T210" s="248" t="str">
        <f t="shared" si="31"/>
        <v/>
      </c>
      <c r="U210" s="249" t="str">
        <f t="shared" si="32"/>
        <v/>
      </c>
      <c r="V210" s="294" t="str">
        <f t="shared" si="28"/>
        <v/>
      </c>
      <c r="W210" s="294" t="str">
        <f>IF(((E210="")+(F210="")),"",IF(VLOOKUP(F210,Mannschaften!$A$1:$B$54,2,FALSE)&lt;&gt;E210,"Reiter Mannschaften füllen",""))</f>
        <v/>
      </c>
      <c r="X210" s="248" t="str">
        <f>IF(ISBLANK(C210),"",IF((U210&gt;(LOOKUP(E210,WKNrListe,Übersicht!$O$7:$O$46)))+(U210&lt;(LOOKUP(E210,WKNrListe,Übersicht!$P$7:$P$46))),"JG falsch",""))</f>
        <v/>
      </c>
      <c r="Y210" s="255" t="str">
        <f>IF((A210="")*(B210=""),"",IF(ISERROR(MATCH(E210,WKNrListe,0)),"WK falsch",LOOKUP(E210,WKNrListe,Übersicht!$B$7:$B$46)))</f>
        <v/>
      </c>
      <c r="Z210" s="269" t="str">
        <f>IF(((AJ210=0)*(AH210&lt;&gt;"")*(AK210="-"))+((AJ210&lt;&gt;0)*(AH210&lt;&gt;"")*(AK210="-")),IF(AG210="X",Übersicht!$C$70,Übersicht!$C$69),"-")</f>
        <v>-</v>
      </c>
      <c r="AA210" s="252" t="str">
        <f>IF((($A210="")*($B210=""))+((MID($Y210,1,4)&lt;&gt;"Wahl")*(Deckblatt!$C$14='WK-Vorlagen'!$C$82))+(Deckblatt!$C$14&lt;&gt;'WK-Vorlagen'!$C$82),"",IF(ISERROR(MATCH(VALUE(MID(G210,1,2)),Schwierigkeitsstufen!$G$7:$G$19,0)),"Gerät falsch",LOOKUP(VALUE(MID(G210,1,2)),Schwierigkeitsstufen!$G$7:$G$19,Schwierigkeitsstufen!$H$7:$H$19)))</f>
        <v/>
      </c>
      <c r="AB210" s="250" t="str">
        <f>IF((($A210="")*($B210=""))+((MID($Y210,1,4)&lt;&gt;"Wahl")*(Deckblatt!$C$14='WK-Vorlagen'!$C$82))+(Deckblatt!$C$14&lt;&gt;'WK-Vorlagen'!$C$82),"",IF(ISERROR(MATCH(VALUE(MID(H210,1,2)),Schwierigkeitsstufen!$G$7:$G$19,0)),"Gerät falsch",LOOKUP(VALUE(MID(H210,1,2)),Schwierigkeitsstufen!$G$7:$G$19,Schwierigkeitsstufen!$H$7:$H$19)))</f>
        <v/>
      </c>
      <c r="AC210" s="250" t="str">
        <f>IF((($A210="")*($B210=""))+((MID($Y210,1,4)&lt;&gt;"Wahl")*(Deckblatt!$C$14='WK-Vorlagen'!$C$82))+(Deckblatt!$C$14&lt;&gt;'WK-Vorlagen'!$C$82),"",IF(ISERROR(MATCH(VALUE(MID(I210,1,2)),Schwierigkeitsstufen!$G$7:$G$19,0)),"Gerät falsch",LOOKUP(VALUE(MID(I210,1,2)),Schwierigkeitsstufen!$G$7:$G$19,Schwierigkeitsstufen!$H$7:$H$19)))</f>
        <v/>
      </c>
      <c r="AD210" s="251" t="str">
        <f>IF((($A210="")*($B210=""))+((MID($Y210,1,4)&lt;&gt;"Wahl")*(Deckblatt!$C$14='WK-Vorlagen'!$C$82))+(Deckblatt!$C$14&lt;&gt;'WK-Vorlagen'!$C$82),"",IF(ISERROR(MATCH(VALUE(MID(J210,1,2)),Schwierigkeitsstufen!$G$7:$G$19,0)),"Gerät falsch",LOOKUP(VALUE(MID(J210,1,2)),Schwierigkeitsstufen!$G$7:$G$19,Schwierigkeitsstufen!$H$7:$H$19)))</f>
        <v/>
      </c>
      <c r="AE210" s="211"/>
      <c r="AG210" s="221" t="str">
        <f t="shared" si="27"/>
        <v/>
      </c>
      <c r="AH210" s="222" t="str">
        <f t="shared" si="29"/>
        <v/>
      </c>
      <c r="AI210" s="220">
        <f t="shared" si="34"/>
        <v>4</v>
      </c>
      <c r="AJ210" s="222">
        <f t="shared" si="30"/>
        <v>0</v>
      </c>
      <c r="AK210" s="299" t="str">
        <f>IF(ISERROR(LOOKUP(E210,WKNrListe,Übersicht!$R$7:$R$46)),"-",LOOKUP(E210,WKNrListe,Übersicht!$R$7:$R$46))</f>
        <v>-</v>
      </c>
      <c r="AL210" s="299" t="str">
        <f t="shared" si="33"/>
        <v>-</v>
      </c>
      <c r="AM210" s="303"/>
      <c r="AN210" s="174" t="str">
        <f t="shared" si="26"/>
        <v>Leer</v>
      </c>
    </row>
    <row r="211" spans="1:40" s="174" customFormat="1" ht="15" customHeight="1">
      <c r="A211" s="63"/>
      <c r="B211" s="63"/>
      <c r="C211" s="84"/>
      <c r="D211" s="85"/>
      <c r="E211" s="62"/>
      <c r="F211" s="62"/>
      <c r="G211" s="62"/>
      <c r="H211" s="62"/>
      <c r="I211" s="62"/>
      <c r="J211" s="62"/>
      <c r="K211" s="62"/>
      <c r="L211" s="62"/>
      <c r="M211" s="62"/>
      <c r="N211" s="62"/>
      <c r="O211" s="62"/>
      <c r="P211" s="62"/>
      <c r="Q211" s="62"/>
      <c r="R211" s="62"/>
      <c r="S211" s="258"/>
      <c r="T211" s="248" t="str">
        <f t="shared" si="31"/>
        <v/>
      </c>
      <c r="U211" s="249" t="str">
        <f t="shared" si="32"/>
        <v/>
      </c>
      <c r="V211" s="294" t="str">
        <f t="shared" si="28"/>
        <v/>
      </c>
      <c r="W211" s="294" t="str">
        <f>IF(((E211="")+(F211="")),"",IF(VLOOKUP(F211,Mannschaften!$A$1:$B$54,2,FALSE)&lt;&gt;E211,"Reiter Mannschaften füllen",""))</f>
        <v/>
      </c>
      <c r="X211" s="248" t="str">
        <f>IF(ISBLANK(C211),"",IF((U211&gt;(LOOKUP(E211,WKNrListe,Übersicht!$O$7:$O$46)))+(U211&lt;(LOOKUP(E211,WKNrListe,Übersicht!$P$7:$P$46))),"JG falsch",""))</f>
        <v/>
      </c>
      <c r="Y211" s="255" t="str">
        <f>IF((A211="")*(B211=""),"",IF(ISERROR(MATCH(E211,WKNrListe,0)),"WK falsch",LOOKUP(E211,WKNrListe,Übersicht!$B$7:$B$46)))</f>
        <v/>
      </c>
      <c r="Z211" s="269" t="str">
        <f>IF(((AJ211=0)*(AH211&lt;&gt;"")*(AK211="-"))+((AJ211&lt;&gt;0)*(AH211&lt;&gt;"")*(AK211="-")),IF(AG211="X",Übersicht!$C$70,Übersicht!$C$69),"-")</f>
        <v>-</v>
      </c>
      <c r="AA211" s="252" t="str">
        <f>IF((($A211="")*($B211=""))+((MID($Y211,1,4)&lt;&gt;"Wahl")*(Deckblatt!$C$14='WK-Vorlagen'!$C$82))+(Deckblatt!$C$14&lt;&gt;'WK-Vorlagen'!$C$82),"",IF(ISERROR(MATCH(VALUE(MID(G211,1,2)),Schwierigkeitsstufen!$G$7:$G$19,0)),"Gerät falsch",LOOKUP(VALUE(MID(G211,1,2)),Schwierigkeitsstufen!$G$7:$G$19,Schwierigkeitsstufen!$H$7:$H$19)))</f>
        <v/>
      </c>
      <c r="AB211" s="250" t="str">
        <f>IF((($A211="")*($B211=""))+((MID($Y211,1,4)&lt;&gt;"Wahl")*(Deckblatt!$C$14='WK-Vorlagen'!$C$82))+(Deckblatt!$C$14&lt;&gt;'WK-Vorlagen'!$C$82),"",IF(ISERROR(MATCH(VALUE(MID(H211,1,2)),Schwierigkeitsstufen!$G$7:$G$19,0)),"Gerät falsch",LOOKUP(VALUE(MID(H211,1,2)),Schwierigkeitsstufen!$G$7:$G$19,Schwierigkeitsstufen!$H$7:$H$19)))</f>
        <v/>
      </c>
      <c r="AC211" s="250" t="str">
        <f>IF((($A211="")*($B211=""))+((MID($Y211,1,4)&lt;&gt;"Wahl")*(Deckblatt!$C$14='WK-Vorlagen'!$C$82))+(Deckblatt!$C$14&lt;&gt;'WK-Vorlagen'!$C$82),"",IF(ISERROR(MATCH(VALUE(MID(I211,1,2)),Schwierigkeitsstufen!$G$7:$G$19,0)),"Gerät falsch",LOOKUP(VALUE(MID(I211,1,2)),Schwierigkeitsstufen!$G$7:$G$19,Schwierigkeitsstufen!$H$7:$H$19)))</f>
        <v/>
      </c>
      <c r="AD211" s="251" t="str">
        <f>IF((($A211="")*($B211=""))+((MID($Y211,1,4)&lt;&gt;"Wahl")*(Deckblatt!$C$14='WK-Vorlagen'!$C$82))+(Deckblatt!$C$14&lt;&gt;'WK-Vorlagen'!$C$82),"",IF(ISERROR(MATCH(VALUE(MID(J211,1,2)),Schwierigkeitsstufen!$G$7:$G$19,0)),"Gerät falsch",LOOKUP(VALUE(MID(J211,1,2)),Schwierigkeitsstufen!$G$7:$G$19,Schwierigkeitsstufen!$H$7:$H$19)))</f>
        <v/>
      </c>
      <c r="AE211" s="211"/>
      <c r="AG211" s="221" t="str">
        <f t="shared" si="27"/>
        <v/>
      </c>
      <c r="AH211" s="222" t="str">
        <f t="shared" si="29"/>
        <v/>
      </c>
      <c r="AI211" s="220">
        <f t="shared" si="34"/>
        <v>4</v>
      </c>
      <c r="AJ211" s="222">
        <f t="shared" si="30"/>
        <v>0</v>
      </c>
      <c r="AK211" s="299" t="str">
        <f>IF(ISERROR(LOOKUP(E211,WKNrListe,Übersicht!$R$7:$R$46)),"-",LOOKUP(E211,WKNrListe,Übersicht!$R$7:$R$46))</f>
        <v>-</v>
      </c>
      <c r="AL211" s="299" t="str">
        <f t="shared" si="33"/>
        <v>-</v>
      </c>
      <c r="AM211" s="303"/>
      <c r="AN211" s="174" t="str">
        <f t="shared" si="26"/>
        <v>Leer</v>
      </c>
    </row>
    <row r="212" spans="1:40" s="174" customFormat="1" ht="15" customHeight="1">
      <c r="A212" s="63"/>
      <c r="B212" s="63"/>
      <c r="C212" s="84"/>
      <c r="D212" s="85"/>
      <c r="E212" s="62"/>
      <c r="F212" s="62"/>
      <c r="G212" s="62"/>
      <c r="H212" s="62"/>
      <c r="I212" s="62"/>
      <c r="J212" s="62"/>
      <c r="K212" s="62"/>
      <c r="L212" s="62"/>
      <c r="M212" s="62"/>
      <c r="N212" s="62"/>
      <c r="O212" s="62"/>
      <c r="P212" s="62"/>
      <c r="Q212" s="62"/>
      <c r="R212" s="62"/>
      <c r="S212" s="258"/>
      <c r="T212" s="248" t="str">
        <f t="shared" si="31"/>
        <v/>
      </c>
      <c r="U212" s="249" t="str">
        <f t="shared" si="32"/>
        <v/>
      </c>
      <c r="V212" s="294" t="str">
        <f t="shared" si="28"/>
        <v/>
      </c>
      <c r="W212" s="294" t="str">
        <f>IF(((E212="")+(F212="")),"",IF(VLOOKUP(F212,Mannschaften!$A$1:$B$54,2,FALSE)&lt;&gt;E212,"Reiter Mannschaften füllen",""))</f>
        <v/>
      </c>
      <c r="X212" s="248" t="str">
        <f>IF(ISBLANK(C212),"",IF((U212&gt;(LOOKUP(E212,WKNrListe,Übersicht!$O$7:$O$46)))+(U212&lt;(LOOKUP(E212,WKNrListe,Übersicht!$P$7:$P$46))),"JG falsch",""))</f>
        <v/>
      </c>
      <c r="Y212" s="255" t="str">
        <f>IF((A212="")*(B212=""),"",IF(ISERROR(MATCH(E212,WKNrListe,0)),"WK falsch",LOOKUP(E212,WKNrListe,Übersicht!$B$7:$B$46)))</f>
        <v/>
      </c>
      <c r="Z212" s="269" t="str">
        <f>IF(((AJ212=0)*(AH212&lt;&gt;"")*(AK212="-"))+((AJ212&lt;&gt;0)*(AH212&lt;&gt;"")*(AK212="-")),IF(AG212="X",Übersicht!$C$70,Übersicht!$C$69),"-")</f>
        <v>-</v>
      </c>
      <c r="AA212" s="252" t="str">
        <f>IF((($A212="")*($B212=""))+((MID($Y212,1,4)&lt;&gt;"Wahl")*(Deckblatt!$C$14='WK-Vorlagen'!$C$82))+(Deckblatt!$C$14&lt;&gt;'WK-Vorlagen'!$C$82),"",IF(ISERROR(MATCH(VALUE(MID(G212,1,2)),Schwierigkeitsstufen!$G$7:$G$19,0)),"Gerät falsch",LOOKUP(VALUE(MID(G212,1,2)),Schwierigkeitsstufen!$G$7:$G$19,Schwierigkeitsstufen!$H$7:$H$19)))</f>
        <v/>
      </c>
      <c r="AB212" s="250" t="str">
        <f>IF((($A212="")*($B212=""))+((MID($Y212,1,4)&lt;&gt;"Wahl")*(Deckblatt!$C$14='WK-Vorlagen'!$C$82))+(Deckblatt!$C$14&lt;&gt;'WK-Vorlagen'!$C$82),"",IF(ISERROR(MATCH(VALUE(MID(H212,1,2)),Schwierigkeitsstufen!$G$7:$G$19,0)),"Gerät falsch",LOOKUP(VALUE(MID(H212,1,2)),Schwierigkeitsstufen!$G$7:$G$19,Schwierigkeitsstufen!$H$7:$H$19)))</f>
        <v/>
      </c>
      <c r="AC212" s="250" t="str">
        <f>IF((($A212="")*($B212=""))+((MID($Y212,1,4)&lt;&gt;"Wahl")*(Deckblatt!$C$14='WK-Vorlagen'!$C$82))+(Deckblatt!$C$14&lt;&gt;'WK-Vorlagen'!$C$82),"",IF(ISERROR(MATCH(VALUE(MID(I212,1,2)),Schwierigkeitsstufen!$G$7:$G$19,0)),"Gerät falsch",LOOKUP(VALUE(MID(I212,1,2)),Schwierigkeitsstufen!$G$7:$G$19,Schwierigkeitsstufen!$H$7:$H$19)))</f>
        <v/>
      </c>
      <c r="AD212" s="251" t="str">
        <f>IF((($A212="")*($B212=""))+((MID($Y212,1,4)&lt;&gt;"Wahl")*(Deckblatt!$C$14='WK-Vorlagen'!$C$82))+(Deckblatt!$C$14&lt;&gt;'WK-Vorlagen'!$C$82),"",IF(ISERROR(MATCH(VALUE(MID(J212,1,2)),Schwierigkeitsstufen!$G$7:$G$19,0)),"Gerät falsch",LOOKUP(VALUE(MID(J212,1,2)),Schwierigkeitsstufen!$G$7:$G$19,Schwierigkeitsstufen!$H$7:$H$19)))</f>
        <v/>
      </c>
      <c r="AE212" s="211"/>
      <c r="AG212" s="221" t="str">
        <f t="shared" si="27"/>
        <v/>
      </c>
      <c r="AH212" s="222" t="str">
        <f t="shared" si="29"/>
        <v/>
      </c>
      <c r="AI212" s="220">
        <f t="shared" si="34"/>
        <v>4</v>
      </c>
      <c r="AJ212" s="222">
        <f t="shared" si="30"/>
        <v>0</v>
      </c>
      <c r="AK212" s="299" t="str">
        <f>IF(ISERROR(LOOKUP(E212,WKNrListe,Übersicht!$R$7:$R$46)),"-",LOOKUP(E212,WKNrListe,Übersicht!$R$7:$R$46))</f>
        <v>-</v>
      </c>
      <c r="AL212" s="299" t="str">
        <f t="shared" si="33"/>
        <v>-</v>
      </c>
      <c r="AM212" s="303"/>
      <c r="AN212" s="174" t="str">
        <f t="shared" si="26"/>
        <v>Leer</v>
      </c>
    </row>
    <row r="213" spans="1:40" s="174" customFormat="1" ht="15" customHeight="1">
      <c r="A213" s="63"/>
      <c r="B213" s="63"/>
      <c r="C213" s="84"/>
      <c r="D213" s="85"/>
      <c r="E213" s="62"/>
      <c r="F213" s="62"/>
      <c r="G213" s="62"/>
      <c r="H213" s="62"/>
      <c r="I213" s="62"/>
      <c r="J213" s="62"/>
      <c r="K213" s="62"/>
      <c r="L213" s="62"/>
      <c r="M213" s="62"/>
      <c r="N213" s="62"/>
      <c r="O213" s="62"/>
      <c r="P213" s="62"/>
      <c r="Q213" s="62"/>
      <c r="R213" s="62"/>
      <c r="S213" s="258"/>
      <c r="T213" s="248" t="str">
        <f t="shared" si="31"/>
        <v/>
      </c>
      <c r="U213" s="249" t="str">
        <f t="shared" si="32"/>
        <v/>
      </c>
      <c r="V213" s="294" t="str">
        <f t="shared" si="28"/>
        <v/>
      </c>
      <c r="W213" s="294" t="str">
        <f>IF(((E213="")+(F213="")),"",IF(VLOOKUP(F213,Mannschaften!$A$1:$B$54,2,FALSE)&lt;&gt;E213,"Reiter Mannschaften füllen",""))</f>
        <v/>
      </c>
      <c r="X213" s="248" t="str">
        <f>IF(ISBLANK(C213),"",IF((U213&gt;(LOOKUP(E213,WKNrListe,Übersicht!$O$7:$O$46)))+(U213&lt;(LOOKUP(E213,WKNrListe,Übersicht!$P$7:$P$46))),"JG falsch",""))</f>
        <v/>
      </c>
      <c r="Y213" s="255" t="str">
        <f>IF((A213="")*(B213=""),"",IF(ISERROR(MATCH(E213,WKNrListe,0)),"WK falsch",LOOKUP(E213,WKNrListe,Übersicht!$B$7:$B$46)))</f>
        <v/>
      </c>
      <c r="Z213" s="269" t="str">
        <f>IF(((AJ213=0)*(AH213&lt;&gt;"")*(AK213="-"))+((AJ213&lt;&gt;0)*(AH213&lt;&gt;"")*(AK213="-")),IF(AG213="X",Übersicht!$C$70,Übersicht!$C$69),"-")</f>
        <v>-</v>
      </c>
      <c r="AA213" s="252" t="str">
        <f>IF((($A213="")*($B213=""))+((MID($Y213,1,4)&lt;&gt;"Wahl")*(Deckblatt!$C$14='WK-Vorlagen'!$C$82))+(Deckblatt!$C$14&lt;&gt;'WK-Vorlagen'!$C$82),"",IF(ISERROR(MATCH(VALUE(MID(G213,1,2)),Schwierigkeitsstufen!$G$7:$G$19,0)),"Gerät falsch",LOOKUP(VALUE(MID(G213,1,2)),Schwierigkeitsstufen!$G$7:$G$19,Schwierigkeitsstufen!$H$7:$H$19)))</f>
        <v/>
      </c>
      <c r="AB213" s="250" t="str">
        <f>IF((($A213="")*($B213=""))+((MID($Y213,1,4)&lt;&gt;"Wahl")*(Deckblatt!$C$14='WK-Vorlagen'!$C$82))+(Deckblatt!$C$14&lt;&gt;'WK-Vorlagen'!$C$82),"",IF(ISERROR(MATCH(VALUE(MID(H213,1,2)),Schwierigkeitsstufen!$G$7:$G$19,0)),"Gerät falsch",LOOKUP(VALUE(MID(H213,1,2)),Schwierigkeitsstufen!$G$7:$G$19,Schwierigkeitsstufen!$H$7:$H$19)))</f>
        <v/>
      </c>
      <c r="AC213" s="250" t="str">
        <f>IF((($A213="")*($B213=""))+((MID($Y213,1,4)&lt;&gt;"Wahl")*(Deckblatt!$C$14='WK-Vorlagen'!$C$82))+(Deckblatt!$C$14&lt;&gt;'WK-Vorlagen'!$C$82),"",IF(ISERROR(MATCH(VALUE(MID(I213,1,2)),Schwierigkeitsstufen!$G$7:$G$19,0)),"Gerät falsch",LOOKUP(VALUE(MID(I213,1,2)),Schwierigkeitsstufen!$G$7:$G$19,Schwierigkeitsstufen!$H$7:$H$19)))</f>
        <v/>
      </c>
      <c r="AD213" s="251" t="str">
        <f>IF((($A213="")*($B213=""))+((MID($Y213,1,4)&lt;&gt;"Wahl")*(Deckblatt!$C$14='WK-Vorlagen'!$C$82))+(Deckblatt!$C$14&lt;&gt;'WK-Vorlagen'!$C$82),"",IF(ISERROR(MATCH(VALUE(MID(J213,1,2)),Schwierigkeitsstufen!$G$7:$G$19,0)),"Gerät falsch",LOOKUP(VALUE(MID(J213,1,2)),Schwierigkeitsstufen!$G$7:$G$19,Schwierigkeitsstufen!$H$7:$H$19)))</f>
        <v/>
      </c>
      <c r="AE213" s="211"/>
      <c r="AG213" s="221" t="str">
        <f t="shared" si="27"/>
        <v/>
      </c>
      <c r="AH213" s="222" t="str">
        <f t="shared" si="29"/>
        <v/>
      </c>
      <c r="AI213" s="220">
        <f t="shared" si="34"/>
        <v>4</v>
      </c>
      <c r="AJ213" s="222">
        <f t="shared" si="30"/>
        <v>0</v>
      </c>
      <c r="AK213" s="299" t="str">
        <f>IF(ISERROR(LOOKUP(E213,WKNrListe,Übersicht!$R$7:$R$46)),"-",LOOKUP(E213,WKNrListe,Übersicht!$R$7:$R$46))</f>
        <v>-</v>
      </c>
      <c r="AL213" s="299" t="str">
        <f t="shared" si="33"/>
        <v>-</v>
      </c>
      <c r="AM213" s="303"/>
      <c r="AN213" s="174" t="str">
        <f t="shared" si="26"/>
        <v>Leer</v>
      </c>
    </row>
    <row r="214" spans="1:40" s="174" customFormat="1" ht="15" customHeight="1">
      <c r="A214" s="63"/>
      <c r="B214" s="63"/>
      <c r="C214" s="84"/>
      <c r="D214" s="85"/>
      <c r="E214" s="62"/>
      <c r="F214" s="62"/>
      <c r="G214" s="62"/>
      <c r="H214" s="62"/>
      <c r="I214" s="62"/>
      <c r="J214" s="62"/>
      <c r="K214" s="62"/>
      <c r="L214" s="62"/>
      <c r="M214" s="62"/>
      <c r="N214" s="62"/>
      <c r="O214" s="62"/>
      <c r="P214" s="62"/>
      <c r="Q214" s="62"/>
      <c r="R214" s="62"/>
      <c r="S214" s="258"/>
      <c r="T214" s="248" t="str">
        <f t="shared" si="31"/>
        <v/>
      </c>
      <c r="U214" s="249" t="str">
        <f t="shared" si="32"/>
        <v/>
      </c>
      <c r="V214" s="294" t="str">
        <f t="shared" si="28"/>
        <v/>
      </c>
      <c r="W214" s="294" t="str">
        <f>IF(((E214="")+(F214="")),"",IF(VLOOKUP(F214,Mannschaften!$A$1:$B$54,2,FALSE)&lt;&gt;E214,"Reiter Mannschaften füllen",""))</f>
        <v/>
      </c>
      <c r="X214" s="248" t="str">
        <f>IF(ISBLANK(C214),"",IF((U214&gt;(LOOKUP(E214,WKNrListe,Übersicht!$O$7:$O$46)))+(U214&lt;(LOOKUP(E214,WKNrListe,Übersicht!$P$7:$P$46))),"JG falsch",""))</f>
        <v/>
      </c>
      <c r="Y214" s="255" t="str">
        <f>IF((A214="")*(B214=""),"",IF(ISERROR(MATCH(E214,WKNrListe,0)),"WK falsch",LOOKUP(E214,WKNrListe,Übersicht!$B$7:$B$46)))</f>
        <v/>
      </c>
      <c r="Z214" s="269" t="str">
        <f>IF(((AJ214=0)*(AH214&lt;&gt;"")*(AK214="-"))+((AJ214&lt;&gt;0)*(AH214&lt;&gt;"")*(AK214="-")),IF(AG214="X",Übersicht!$C$70,Übersicht!$C$69),"-")</f>
        <v>-</v>
      </c>
      <c r="AA214" s="252" t="str">
        <f>IF((($A214="")*($B214=""))+((MID($Y214,1,4)&lt;&gt;"Wahl")*(Deckblatt!$C$14='WK-Vorlagen'!$C$82))+(Deckblatt!$C$14&lt;&gt;'WK-Vorlagen'!$C$82),"",IF(ISERROR(MATCH(VALUE(MID(G214,1,2)),Schwierigkeitsstufen!$G$7:$G$19,0)),"Gerät falsch",LOOKUP(VALUE(MID(G214,1,2)),Schwierigkeitsstufen!$G$7:$G$19,Schwierigkeitsstufen!$H$7:$H$19)))</f>
        <v/>
      </c>
      <c r="AB214" s="250" t="str">
        <f>IF((($A214="")*($B214=""))+((MID($Y214,1,4)&lt;&gt;"Wahl")*(Deckblatt!$C$14='WK-Vorlagen'!$C$82))+(Deckblatt!$C$14&lt;&gt;'WK-Vorlagen'!$C$82),"",IF(ISERROR(MATCH(VALUE(MID(H214,1,2)),Schwierigkeitsstufen!$G$7:$G$19,0)),"Gerät falsch",LOOKUP(VALUE(MID(H214,1,2)),Schwierigkeitsstufen!$G$7:$G$19,Schwierigkeitsstufen!$H$7:$H$19)))</f>
        <v/>
      </c>
      <c r="AC214" s="250" t="str">
        <f>IF((($A214="")*($B214=""))+((MID($Y214,1,4)&lt;&gt;"Wahl")*(Deckblatt!$C$14='WK-Vorlagen'!$C$82))+(Deckblatt!$C$14&lt;&gt;'WK-Vorlagen'!$C$82),"",IF(ISERROR(MATCH(VALUE(MID(I214,1,2)),Schwierigkeitsstufen!$G$7:$G$19,0)),"Gerät falsch",LOOKUP(VALUE(MID(I214,1,2)),Schwierigkeitsstufen!$G$7:$G$19,Schwierigkeitsstufen!$H$7:$H$19)))</f>
        <v/>
      </c>
      <c r="AD214" s="251" t="str">
        <f>IF((($A214="")*($B214=""))+((MID($Y214,1,4)&lt;&gt;"Wahl")*(Deckblatt!$C$14='WK-Vorlagen'!$C$82))+(Deckblatt!$C$14&lt;&gt;'WK-Vorlagen'!$C$82),"",IF(ISERROR(MATCH(VALUE(MID(J214,1,2)),Schwierigkeitsstufen!$G$7:$G$19,0)),"Gerät falsch",LOOKUP(VALUE(MID(J214,1,2)),Schwierigkeitsstufen!$G$7:$G$19,Schwierigkeitsstufen!$H$7:$H$19)))</f>
        <v/>
      </c>
      <c r="AE214" s="211"/>
      <c r="AG214" s="221" t="str">
        <f t="shared" si="27"/>
        <v/>
      </c>
      <c r="AH214" s="222" t="str">
        <f t="shared" si="29"/>
        <v/>
      </c>
      <c r="AI214" s="220">
        <f t="shared" si="34"/>
        <v>4</v>
      </c>
      <c r="AJ214" s="222">
        <f t="shared" si="30"/>
        <v>0</v>
      </c>
      <c r="AK214" s="299" t="str">
        <f>IF(ISERROR(LOOKUP(E214,WKNrListe,Übersicht!$R$7:$R$46)),"-",LOOKUP(E214,WKNrListe,Übersicht!$R$7:$R$46))</f>
        <v>-</v>
      </c>
      <c r="AL214" s="299" t="str">
        <f t="shared" si="33"/>
        <v>-</v>
      </c>
      <c r="AM214" s="303"/>
      <c r="AN214" s="174" t="str">
        <f t="shared" si="26"/>
        <v>Leer</v>
      </c>
    </row>
    <row r="215" spans="1:40" s="174" customFormat="1" ht="15" customHeight="1">
      <c r="A215" s="63"/>
      <c r="B215" s="63"/>
      <c r="C215" s="84"/>
      <c r="D215" s="85"/>
      <c r="E215" s="62"/>
      <c r="F215" s="62"/>
      <c r="G215" s="62"/>
      <c r="H215" s="62"/>
      <c r="I215" s="62"/>
      <c r="J215" s="62"/>
      <c r="K215" s="62"/>
      <c r="L215" s="62"/>
      <c r="M215" s="62"/>
      <c r="N215" s="62"/>
      <c r="O215" s="62"/>
      <c r="P215" s="62"/>
      <c r="Q215" s="62"/>
      <c r="R215" s="62"/>
      <c r="S215" s="258"/>
      <c r="T215" s="248" t="str">
        <f t="shared" si="31"/>
        <v/>
      </c>
      <c r="U215" s="249" t="str">
        <f t="shared" si="32"/>
        <v/>
      </c>
      <c r="V215" s="294" t="str">
        <f t="shared" si="28"/>
        <v/>
      </c>
      <c r="W215" s="294" t="str">
        <f>IF(((E215="")+(F215="")),"",IF(VLOOKUP(F215,Mannschaften!$A$1:$B$54,2,FALSE)&lt;&gt;E215,"Reiter Mannschaften füllen",""))</f>
        <v/>
      </c>
      <c r="X215" s="248" t="str">
        <f>IF(ISBLANK(C215),"",IF((U215&gt;(LOOKUP(E215,WKNrListe,Übersicht!$O$7:$O$46)))+(U215&lt;(LOOKUP(E215,WKNrListe,Übersicht!$P$7:$P$46))),"JG falsch",""))</f>
        <v/>
      </c>
      <c r="Y215" s="255" t="str">
        <f>IF((A215="")*(B215=""),"",IF(ISERROR(MATCH(E215,WKNrListe,0)),"WK falsch",LOOKUP(E215,WKNrListe,Übersicht!$B$7:$B$46)))</f>
        <v/>
      </c>
      <c r="Z215" s="269" t="str">
        <f>IF(((AJ215=0)*(AH215&lt;&gt;"")*(AK215="-"))+((AJ215&lt;&gt;0)*(AH215&lt;&gt;"")*(AK215="-")),IF(AG215="X",Übersicht!$C$70,Übersicht!$C$69),"-")</f>
        <v>-</v>
      </c>
      <c r="AA215" s="252" t="str">
        <f>IF((($A215="")*($B215=""))+((MID($Y215,1,4)&lt;&gt;"Wahl")*(Deckblatt!$C$14='WK-Vorlagen'!$C$82))+(Deckblatt!$C$14&lt;&gt;'WK-Vorlagen'!$C$82),"",IF(ISERROR(MATCH(VALUE(MID(G215,1,2)),Schwierigkeitsstufen!$G$7:$G$19,0)),"Gerät falsch",LOOKUP(VALUE(MID(G215,1,2)),Schwierigkeitsstufen!$G$7:$G$19,Schwierigkeitsstufen!$H$7:$H$19)))</f>
        <v/>
      </c>
      <c r="AB215" s="250" t="str">
        <f>IF((($A215="")*($B215=""))+((MID($Y215,1,4)&lt;&gt;"Wahl")*(Deckblatt!$C$14='WK-Vorlagen'!$C$82))+(Deckblatt!$C$14&lt;&gt;'WK-Vorlagen'!$C$82),"",IF(ISERROR(MATCH(VALUE(MID(H215,1,2)),Schwierigkeitsstufen!$G$7:$G$19,0)),"Gerät falsch",LOOKUP(VALUE(MID(H215,1,2)),Schwierigkeitsstufen!$G$7:$G$19,Schwierigkeitsstufen!$H$7:$H$19)))</f>
        <v/>
      </c>
      <c r="AC215" s="250" t="str">
        <f>IF((($A215="")*($B215=""))+((MID($Y215,1,4)&lt;&gt;"Wahl")*(Deckblatt!$C$14='WK-Vorlagen'!$C$82))+(Deckblatt!$C$14&lt;&gt;'WK-Vorlagen'!$C$82),"",IF(ISERROR(MATCH(VALUE(MID(I215,1,2)),Schwierigkeitsstufen!$G$7:$G$19,0)),"Gerät falsch",LOOKUP(VALUE(MID(I215,1,2)),Schwierigkeitsstufen!$G$7:$G$19,Schwierigkeitsstufen!$H$7:$H$19)))</f>
        <v/>
      </c>
      <c r="AD215" s="251" t="str">
        <f>IF((($A215="")*($B215=""))+((MID($Y215,1,4)&lt;&gt;"Wahl")*(Deckblatt!$C$14='WK-Vorlagen'!$C$82))+(Deckblatt!$C$14&lt;&gt;'WK-Vorlagen'!$C$82),"",IF(ISERROR(MATCH(VALUE(MID(J215,1,2)),Schwierigkeitsstufen!$G$7:$G$19,0)),"Gerät falsch",LOOKUP(VALUE(MID(J215,1,2)),Schwierigkeitsstufen!$G$7:$G$19,Schwierigkeitsstufen!$H$7:$H$19)))</f>
        <v/>
      </c>
      <c r="AE215" s="211"/>
      <c r="AG215" s="221" t="str">
        <f t="shared" si="27"/>
        <v/>
      </c>
      <c r="AH215" s="222" t="str">
        <f t="shared" si="29"/>
        <v/>
      </c>
      <c r="AI215" s="220">
        <f t="shared" si="34"/>
        <v>4</v>
      </c>
      <c r="AJ215" s="222">
        <f t="shared" si="30"/>
        <v>0</v>
      </c>
      <c r="AK215" s="299" t="str">
        <f>IF(ISERROR(LOOKUP(E215,WKNrListe,Übersicht!$R$7:$R$46)),"-",LOOKUP(E215,WKNrListe,Übersicht!$R$7:$R$46))</f>
        <v>-</v>
      </c>
      <c r="AL215" s="299" t="str">
        <f t="shared" si="33"/>
        <v>-</v>
      </c>
      <c r="AM215" s="303"/>
      <c r="AN215" s="174" t="str">
        <f t="shared" si="26"/>
        <v>Leer</v>
      </c>
    </row>
    <row r="216" spans="1:40" s="174" customFormat="1" ht="15" customHeight="1">
      <c r="A216" s="63"/>
      <c r="B216" s="63"/>
      <c r="C216" s="84"/>
      <c r="D216" s="85"/>
      <c r="E216" s="62"/>
      <c r="F216" s="62"/>
      <c r="G216" s="62"/>
      <c r="H216" s="62"/>
      <c r="I216" s="62"/>
      <c r="J216" s="62"/>
      <c r="K216" s="62"/>
      <c r="L216" s="62"/>
      <c r="M216" s="62"/>
      <c r="N216" s="62"/>
      <c r="O216" s="62"/>
      <c r="P216" s="62"/>
      <c r="Q216" s="62"/>
      <c r="R216" s="62"/>
      <c r="S216" s="258"/>
      <c r="T216" s="248" t="str">
        <f t="shared" si="31"/>
        <v/>
      </c>
      <c r="U216" s="249" t="str">
        <f t="shared" si="32"/>
        <v/>
      </c>
      <c r="V216" s="294" t="str">
        <f t="shared" si="28"/>
        <v/>
      </c>
      <c r="W216" s="294" t="str">
        <f>IF(((E216="")+(F216="")),"",IF(VLOOKUP(F216,Mannschaften!$A$1:$B$54,2,FALSE)&lt;&gt;E216,"Reiter Mannschaften füllen",""))</f>
        <v/>
      </c>
      <c r="X216" s="248" t="str">
        <f>IF(ISBLANK(C216),"",IF((U216&gt;(LOOKUP(E216,WKNrListe,Übersicht!$O$7:$O$46)))+(U216&lt;(LOOKUP(E216,WKNrListe,Übersicht!$P$7:$P$46))),"JG falsch",""))</f>
        <v/>
      </c>
      <c r="Y216" s="255" t="str">
        <f>IF((A216="")*(B216=""),"",IF(ISERROR(MATCH(E216,WKNrListe,0)),"WK falsch",LOOKUP(E216,WKNrListe,Übersicht!$B$7:$B$46)))</f>
        <v/>
      </c>
      <c r="Z216" s="269" t="str">
        <f>IF(((AJ216=0)*(AH216&lt;&gt;"")*(AK216="-"))+((AJ216&lt;&gt;0)*(AH216&lt;&gt;"")*(AK216="-")),IF(AG216="X",Übersicht!$C$70,Übersicht!$C$69),"-")</f>
        <v>-</v>
      </c>
      <c r="AA216" s="252" t="str">
        <f>IF((($A216="")*($B216=""))+((MID($Y216,1,4)&lt;&gt;"Wahl")*(Deckblatt!$C$14='WK-Vorlagen'!$C$82))+(Deckblatt!$C$14&lt;&gt;'WK-Vorlagen'!$C$82),"",IF(ISERROR(MATCH(VALUE(MID(G216,1,2)),Schwierigkeitsstufen!$G$7:$G$19,0)),"Gerät falsch",LOOKUP(VALUE(MID(G216,1,2)),Schwierigkeitsstufen!$G$7:$G$19,Schwierigkeitsstufen!$H$7:$H$19)))</f>
        <v/>
      </c>
      <c r="AB216" s="250" t="str">
        <f>IF((($A216="")*($B216=""))+((MID($Y216,1,4)&lt;&gt;"Wahl")*(Deckblatt!$C$14='WK-Vorlagen'!$C$82))+(Deckblatt!$C$14&lt;&gt;'WK-Vorlagen'!$C$82),"",IF(ISERROR(MATCH(VALUE(MID(H216,1,2)),Schwierigkeitsstufen!$G$7:$G$19,0)),"Gerät falsch",LOOKUP(VALUE(MID(H216,1,2)),Schwierigkeitsstufen!$G$7:$G$19,Schwierigkeitsstufen!$H$7:$H$19)))</f>
        <v/>
      </c>
      <c r="AC216" s="250" t="str">
        <f>IF((($A216="")*($B216=""))+((MID($Y216,1,4)&lt;&gt;"Wahl")*(Deckblatt!$C$14='WK-Vorlagen'!$C$82))+(Deckblatt!$C$14&lt;&gt;'WK-Vorlagen'!$C$82),"",IF(ISERROR(MATCH(VALUE(MID(I216,1,2)),Schwierigkeitsstufen!$G$7:$G$19,0)),"Gerät falsch",LOOKUP(VALUE(MID(I216,1,2)),Schwierigkeitsstufen!$G$7:$G$19,Schwierigkeitsstufen!$H$7:$H$19)))</f>
        <v/>
      </c>
      <c r="AD216" s="251" t="str">
        <f>IF((($A216="")*($B216=""))+((MID($Y216,1,4)&lt;&gt;"Wahl")*(Deckblatt!$C$14='WK-Vorlagen'!$C$82))+(Deckblatt!$C$14&lt;&gt;'WK-Vorlagen'!$C$82),"",IF(ISERROR(MATCH(VALUE(MID(J216,1,2)),Schwierigkeitsstufen!$G$7:$G$19,0)),"Gerät falsch",LOOKUP(VALUE(MID(J216,1,2)),Schwierigkeitsstufen!$G$7:$G$19,Schwierigkeitsstufen!$H$7:$H$19)))</f>
        <v/>
      </c>
      <c r="AE216" s="211"/>
      <c r="AG216" s="221" t="str">
        <f t="shared" si="27"/>
        <v/>
      </c>
      <c r="AH216" s="222" t="str">
        <f t="shared" si="29"/>
        <v/>
      </c>
      <c r="AI216" s="220">
        <f t="shared" si="34"/>
        <v>4</v>
      </c>
      <c r="AJ216" s="222">
        <f t="shared" si="30"/>
        <v>0</v>
      </c>
      <c r="AK216" s="299" t="str">
        <f>IF(ISERROR(LOOKUP(E216,WKNrListe,Übersicht!$R$7:$R$46)),"-",LOOKUP(E216,WKNrListe,Übersicht!$R$7:$R$46))</f>
        <v>-</v>
      </c>
      <c r="AL216" s="299" t="str">
        <f t="shared" si="33"/>
        <v>-</v>
      </c>
      <c r="AM216" s="303"/>
      <c r="AN216" s="174" t="str">
        <f t="shared" si="26"/>
        <v>Leer</v>
      </c>
    </row>
    <row r="217" spans="1:40" s="174" customFormat="1" ht="15" customHeight="1">
      <c r="A217" s="63"/>
      <c r="B217" s="63"/>
      <c r="C217" s="84"/>
      <c r="D217" s="85"/>
      <c r="E217" s="62"/>
      <c r="F217" s="62"/>
      <c r="G217" s="62"/>
      <c r="H217" s="62"/>
      <c r="I217" s="62"/>
      <c r="J217" s="62"/>
      <c r="K217" s="62"/>
      <c r="L217" s="62"/>
      <c r="M217" s="62"/>
      <c r="N217" s="62"/>
      <c r="O217" s="62"/>
      <c r="P217" s="62"/>
      <c r="Q217" s="62"/>
      <c r="R217" s="62"/>
      <c r="S217" s="258"/>
      <c r="T217" s="248" t="str">
        <f t="shared" si="31"/>
        <v/>
      </c>
      <c r="U217" s="249" t="str">
        <f t="shared" si="32"/>
        <v/>
      </c>
      <c r="V217" s="294" t="str">
        <f t="shared" si="28"/>
        <v/>
      </c>
      <c r="W217" s="294" t="str">
        <f>IF(((E217="")+(F217="")),"",IF(VLOOKUP(F217,Mannschaften!$A$1:$B$54,2,FALSE)&lt;&gt;E217,"Reiter Mannschaften füllen",""))</f>
        <v/>
      </c>
      <c r="X217" s="248" t="str">
        <f>IF(ISBLANK(C217),"",IF((U217&gt;(LOOKUP(E217,WKNrListe,Übersicht!$O$7:$O$46)))+(U217&lt;(LOOKUP(E217,WKNrListe,Übersicht!$P$7:$P$46))),"JG falsch",""))</f>
        <v/>
      </c>
      <c r="Y217" s="255" t="str">
        <f>IF((A217="")*(B217=""),"",IF(ISERROR(MATCH(E217,WKNrListe,0)),"WK falsch",LOOKUP(E217,WKNrListe,Übersicht!$B$7:$B$46)))</f>
        <v/>
      </c>
      <c r="Z217" s="269" t="str">
        <f>IF(((AJ217=0)*(AH217&lt;&gt;"")*(AK217="-"))+((AJ217&lt;&gt;0)*(AH217&lt;&gt;"")*(AK217="-")),IF(AG217="X",Übersicht!$C$70,Übersicht!$C$69),"-")</f>
        <v>-</v>
      </c>
      <c r="AA217" s="252" t="str">
        <f>IF((($A217="")*($B217=""))+((MID($Y217,1,4)&lt;&gt;"Wahl")*(Deckblatt!$C$14='WK-Vorlagen'!$C$82))+(Deckblatt!$C$14&lt;&gt;'WK-Vorlagen'!$C$82),"",IF(ISERROR(MATCH(VALUE(MID(G217,1,2)),Schwierigkeitsstufen!$G$7:$G$19,0)),"Gerät falsch",LOOKUP(VALUE(MID(G217,1,2)),Schwierigkeitsstufen!$G$7:$G$19,Schwierigkeitsstufen!$H$7:$H$19)))</f>
        <v/>
      </c>
      <c r="AB217" s="250" t="str">
        <f>IF((($A217="")*($B217=""))+((MID($Y217,1,4)&lt;&gt;"Wahl")*(Deckblatt!$C$14='WK-Vorlagen'!$C$82))+(Deckblatt!$C$14&lt;&gt;'WK-Vorlagen'!$C$82),"",IF(ISERROR(MATCH(VALUE(MID(H217,1,2)),Schwierigkeitsstufen!$G$7:$G$19,0)),"Gerät falsch",LOOKUP(VALUE(MID(H217,1,2)),Schwierigkeitsstufen!$G$7:$G$19,Schwierigkeitsstufen!$H$7:$H$19)))</f>
        <v/>
      </c>
      <c r="AC217" s="250" t="str">
        <f>IF((($A217="")*($B217=""))+((MID($Y217,1,4)&lt;&gt;"Wahl")*(Deckblatt!$C$14='WK-Vorlagen'!$C$82))+(Deckblatt!$C$14&lt;&gt;'WK-Vorlagen'!$C$82),"",IF(ISERROR(MATCH(VALUE(MID(I217,1,2)),Schwierigkeitsstufen!$G$7:$G$19,0)),"Gerät falsch",LOOKUP(VALUE(MID(I217,1,2)),Schwierigkeitsstufen!$G$7:$G$19,Schwierigkeitsstufen!$H$7:$H$19)))</f>
        <v/>
      </c>
      <c r="AD217" s="251" t="str">
        <f>IF((($A217="")*($B217=""))+((MID($Y217,1,4)&lt;&gt;"Wahl")*(Deckblatt!$C$14='WK-Vorlagen'!$C$82))+(Deckblatt!$C$14&lt;&gt;'WK-Vorlagen'!$C$82),"",IF(ISERROR(MATCH(VALUE(MID(J217,1,2)),Schwierigkeitsstufen!$G$7:$G$19,0)),"Gerät falsch",LOOKUP(VALUE(MID(J217,1,2)),Schwierigkeitsstufen!$G$7:$G$19,Schwierigkeitsstufen!$H$7:$H$19)))</f>
        <v/>
      </c>
      <c r="AE217" s="211"/>
      <c r="AG217" s="221" t="str">
        <f t="shared" si="27"/>
        <v/>
      </c>
      <c r="AH217" s="222" t="str">
        <f t="shared" si="29"/>
        <v/>
      </c>
      <c r="AI217" s="220">
        <f t="shared" si="34"/>
        <v>4</v>
      </c>
      <c r="AJ217" s="222">
        <f t="shared" si="30"/>
        <v>0</v>
      </c>
      <c r="AK217" s="299" t="str">
        <f>IF(ISERROR(LOOKUP(E217,WKNrListe,Übersicht!$R$7:$R$46)),"-",LOOKUP(E217,WKNrListe,Übersicht!$R$7:$R$46))</f>
        <v>-</v>
      </c>
      <c r="AL217" s="299" t="str">
        <f t="shared" si="33"/>
        <v>-</v>
      </c>
      <c r="AM217" s="303"/>
      <c r="AN217" s="174" t="str">
        <f t="shared" si="26"/>
        <v>Leer</v>
      </c>
    </row>
    <row r="218" spans="1:40" s="174" customFormat="1" ht="15" customHeight="1">
      <c r="A218" s="63"/>
      <c r="B218" s="63"/>
      <c r="C218" s="84"/>
      <c r="D218" s="85"/>
      <c r="E218" s="62"/>
      <c r="F218" s="62"/>
      <c r="G218" s="62"/>
      <c r="H218" s="62"/>
      <c r="I218" s="62"/>
      <c r="J218" s="62"/>
      <c r="K218" s="62"/>
      <c r="L218" s="62"/>
      <c r="M218" s="62"/>
      <c r="N218" s="62"/>
      <c r="O218" s="62"/>
      <c r="P218" s="62"/>
      <c r="Q218" s="62"/>
      <c r="R218" s="62"/>
      <c r="S218" s="258"/>
      <c r="T218" s="248" t="str">
        <f t="shared" si="31"/>
        <v/>
      </c>
      <c r="U218" s="249" t="str">
        <f t="shared" si="32"/>
        <v/>
      </c>
      <c r="V218" s="294" t="str">
        <f t="shared" si="28"/>
        <v/>
      </c>
      <c r="W218" s="294" t="str">
        <f>IF(((E218="")+(F218="")),"",IF(VLOOKUP(F218,Mannschaften!$A$1:$B$54,2,FALSE)&lt;&gt;E218,"Reiter Mannschaften füllen",""))</f>
        <v/>
      </c>
      <c r="X218" s="248" t="str">
        <f>IF(ISBLANK(C218),"",IF((U218&gt;(LOOKUP(E218,WKNrListe,Übersicht!$O$7:$O$46)))+(U218&lt;(LOOKUP(E218,WKNrListe,Übersicht!$P$7:$P$46))),"JG falsch",""))</f>
        <v/>
      </c>
      <c r="Y218" s="255" t="str">
        <f>IF((A218="")*(B218=""),"",IF(ISERROR(MATCH(E218,WKNrListe,0)),"WK falsch",LOOKUP(E218,WKNrListe,Übersicht!$B$7:$B$46)))</f>
        <v/>
      </c>
      <c r="Z218" s="269" t="str">
        <f>IF(((AJ218=0)*(AH218&lt;&gt;"")*(AK218="-"))+((AJ218&lt;&gt;0)*(AH218&lt;&gt;"")*(AK218="-")),IF(AG218="X",Übersicht!$C$70,Übersicht!$C$69),"-")</f>
        <v>-</v>
      </c>
      <c r="AA218" s="252" t="str">
        <f>IF((($A218="")*($B218=""))+((MID($Y218,1,4)&lt;&gt;"Wahl")*(Deckblatt!$C$14='WK-Vorlagen'!$C$82))+(Deckblatt!$C$14&lt;&gt;'WK-Vorlagen'!$C$82),"",IF(ISERROR(MATCH(VALUE(MID(G218,1,2)),Schwierigkeitsstufen!$G$7:$G$19,0)),"Gerät falsch",LOOKUP(VALUE(MID(G218,1,2)),Schwierigkeitsstufen!$G$7:$G$19,Schwierigkeitsstufen!$H$7:$H$19)))</f>
        <v/>
      </c>
      <c r="AB218" s="250" t="str">
        <f>IF((($A218="")*($B218=""))+((MID($Y218,1,4)&lt;&gt;"Wahl")*(Deckblatt!$C$14='WK-Vorlagen'!$C$82))+(Deckblatt!$C$14&lt;&gt;'WK-Vorlagen'!$C$82),"",IF(ISERROR(MATCH(VALUE(MID(H218,1,2)),Schwierigkeitsstufen!$G$7:$G$19,0)),"Gerät falsch",LOOKUP(VALUE(MID(H218,1,2)),Schwierigkeitsstufen!$G$7:$G$19,Schwierigkeitsstufen!$H$7:$H$19)))</f>
        <v/>
      </c>
      <c r="AC218" s="250" t="str">
        <f>IF((($A218="")*($B218=""))+((MID($Y218,1,4)&lt;&gt;"Wahl")*(Deckblatt!$C$14='WK-Vorlagen'!$C$82))+(Deckblatt!$C$14&lt;&gt;'WK-Vorlagen'!$C$82),"",IF(ISERROR(MATCH(VALUE(MID(I218,1,2)),Schwierigkeitsstufen!$G$7:$G$19,0)),"Gerät falsch",LOOKUP(VALUE(MID(I218,1,2)),Schwierigkeitsstufen!$G$7:$G$19,Schwierigkeitsstufen!$H$7:$H$19)))</f>
        <v/>
      </c>
      <c r="AD218" s="251" t="str">
        <f>IF((($A218="")*($B218=""))+((MID($Y218,1,4)&lt;&gt;"Wahl")*(Deckblatt!$C$14='WK-Vorlagen'!$C$82))+(Deckblatt!$C$14&lt;&gt;'WK-Vorlagen'!$C$82),"",IF(ISERROR(MATCH(VALUE(MID(J218,1,2)),Schwierigkeitsstufen!$G$7:$G$19,0)),"Gerät falsch",LOOKUP(VALUE(MID(J218,1,2)),Schwierigkeitsstufen!$G$7:$G$19,Schwierigkeitsstufen!$H$7:$H$19)))</f>
        <v/>
      </c>
      <c r="AE218" s="211"/>
      <c r="AG218" s="221" t="str">
        <f t="shared" si="27"/>
        <v/>
      </c>
      <c r="AH218" s="222" t="str">
        <f t="shared" si="29"/>
        <v/>
      </c>
      <c r="AI218" s="220">
        <f t="shared" si="34"/>
        <v>4</v>
      </c>
      <c r="AJ218" s="222">
        <f t="shared" si="30"/>
        <v>0</v>
      </c>
      <c r="AK218" s="299" t="str">
        <f>IF(ISERROR(LOOKUP(E218,WKNrListe,Übersicht!$R$7:$R$46)),"-",LOOKUP(E218,WKNrListe,Übersicht!$R$7:$R$46))</f>
        <v>-</v>
      </c>
      <c r="AL218" s="299" t="str">
        <f t="shared" si="33"/>
        <v>-</v>
      </c>
      <c r="AM218" s="303"/>
      <c r="AN218" s="174" t="str">
        <f t="shared" si="26"/>
        <v>Leer</v>
      </c>
    </row>
    <row r="219" spans="1:40" s="174" customFormat="1" ht="15" customHeight="1">
      <c r="A219" s="63"/>
      <c r="B219" s="63"/>
      <c r="C219" s="84"/>
      <c r="D219" s="85"/>
      <c r="E219" s="62"/>
      <c r="F219" s="62"/>
      <c r="G219" s="62"/>
      <c r="H219" s="62"/>
      <c r="I219" s="62"/>
      <c r="J219" s="62"/>
      <c r="K219" s="62"/>
      <c r="L219" s="62"/>
      <c r="M219" s="62"/>
      <c r="N219" s="62"/>
      <c r="O219" s="62"/>
      <c r="P219" s="62"/>
      <c r="Q219" s="62"/>
      <c r="R219" s="62"/>
      <c r="S219" s="258"/>
      <c r="T219" s="248" t="str">
        <f t="shared" si="31"/>
        <v/>
      </c>
      <c r="U219" s="249" t="str">
        <f t="shared" si="32"/>
        <v/>
      </c>
      <c r="V219" s="294" t="str">
        <f t="shared" si="28"/>
        <v/>
      </c>
      <c r="W219" s="294" t="str">
        <f>IF(((E219="")+(F219="")),"",IF(VLOOKUP(F219,Mannschaften!$A$1:$B$54,2,FALSE)&lt;&gt;E219,"Reiter Mannschaften füllen",""))</f>
        <v/>
      </c>
      <c r="X219" s="248" t="str">
        <f>IF(ISBLANK(C219),"",IF((U219&gt;(LOOKUP(E219,WKNrListe,Übersicht!$O$7:$O$46)))+(U219&lt;(LOOKUP(E219,WKNrListe,Übersicht!$P$7:$P$46))),"JG falsch",""))</f>
        <v/>
      </c>
      <c r="Y219" s="255" t="str">
        <f>IF((A219="")*(B219=""),"",IF(ISERROR(MATCH(E219,WKNrListe,0)),"WK falsch",LOOKUP(E219,WKNrListe,Übersicht!$B$7:$B$46)))</f>
        <v/>
      </c>
      <c r="Z219" s="269" t="str">
        <f>IF(((AJ219=0)*(AH219&lt;&gt;"")*(AK219="-"))+((AJ219&lt;&gt;0)*(AH219&lt;&gt;"")*(AK219="-")),IF(AG219="X",Übersicht!$C$70,Übersicht!$C$69),"-")</f>
        <v>-</v>
      </c>
      <c r="AA219" s="252" t="str">
        <f>IF((($A219="")*($B219=""))+((MID($Y219,1,4)&lt;&gt;"Wahl")*(Deckblatt!$C$14='WK-Vorlagen'!$C$82))+(Deckblatt!$C$14&lt;&gt;'WK-Vorlagen'!$C$82),"",IF(ISERROR(MATCH(VALUE(MID(G219,1,2)),Schwierigkeitsstufen!$G$7:$G$19,0)),"Gerät falsch",LOOKUP(VALUE(MID(G219,1,2)),Schwierigkeitsstufen!$G$7:$G$19,Schwierigkeitsstufen!$H$7:$H$19)))</f>
        <v/>
      </c>
      <c r="AB219" s="250" t="str">
        <f>IF((($A219="")*($B219=""))+((MID($Y219,1,4)&lt;&gt;"Wahl")*(Deckblatt!$C$14='WK-Vorlagen'!$C$82))+(Deckblatt!$C$14&lt;&gt;'WK-Vorlagen'!$C$82),"",IF(ISERROR(MATCH(VALUE(MID(H219,1,2)),Schwierigkeitsstufen!$G$7:$G$19,0)),"Gerät falsch",LOOKUP(VALUE(MID(H219,1,2)),Schwierigkeitsstufen!$G$7:$G$19,Schwierigkeitsstufen!$H$7:$H$19)))</f>
        <v/>
      </c>
      <c r="AC219" s="250" t="str">
        <f>IF((($A219="")*($B219=""))+((MID($Y219,1,4)&lt;&gt;"Wahl")*(Deckblatt!$C$14='WK-Vorlagen'!$C$82))+(Deckblatt!$C$14&lt;&gt;'WK-Vorlagen'!$C$82),"",IF(ISERROR(MATCH(VALUE(MID(I219,1,2)),Schwierigkeitsstufen!$G$7:$G$19,0)),"Gerät falsch",LOOKUP(VALUE(MID(I219,1,2)),Schwierigkeitsstufen!$G$7:$G$19,Schwierigkeitsstufen!$H$7:$H$19)))</f>
        <v/>
      </c>
      <c r="AD219" s="251" t="str">
        <f>IF((($A219="")*($B219=""))+((MID($Y219,1,4)&lt;&gt;"Wahl")*(Deckblatt!$C$14='WK-Vorlagen'!$C$82))+(Deckblatt!$C$14&lt;&gt;'WK-Vorlagen'!$C$82),"",IF(ISERROR(MATCH(VALUE(MID(J219,1,2)),Schwierigkeitsstufen!$G$7:$G$19,0)),"Gerät falsch",LOOKUP(VALUE(MID(J219,1,2)),Schwierigkeitsstufen!$G$7:$G$19,Schwierigkeitsstufen!$H$7:$H$19)))</f>
        <v/>
      </c>
      <c r="AE219" s="211"/>
      <c r="AG219" s="221" t="str">
        <f t="shared" si="27"/>
        <v/>
      </c>
      <c r="AH219" s="222" t="str">
        <f t="shared" si="29"/>
        <v/>
      </c>
      <c r="AI219" s="220">
        <f t="shared" si="34"/>
        <v>4</v>
      </c>
      <c r="AJ219" s="222">
        <f t="shared" si="30"/>
        <v>0</v>
      </c>
      <c r="AK219" s="299" t="str">
        <f>IF(ISERROR(LOOKUP(E219,WKNrListe,Übersicht!$R$7:$R$46)),"-",LOOKUP(E219,WKNrListe,Übersicht!$R$7:$R$46))</f>
        <v>-</v>
      </c>
      <c r="AL219" s="299" t="str">
        <f t="shared" si="33"/>
        <v>-</v>
      </c>
      <c r="AM219" s="303"/>
      <c r="AN219" s="174" t="str">
        <f t="shared" si="26"/>
        <v>Leer</v>
      </c>
    </row>
    <row r="220" spans="1:40" s="174" customFormat="1" ht="15" customHeight="1">
      <c r="A220" s="63"/>
      <c r="B220" s="63"/>
      <c r="C220" s="84"/>
      <c r="D220" s="85"/>
      <c r="E220" s="62"/>
      <c r="F220" s="62"/>
      <c r="G220" s="62"/>
      <c r="H220" s="62"/>
      <c r="I220" s="62"/>
      <c r="J220" s="62"/>
      <c r="K220" s="62"/>
      <c r="L220" s="62"/>
      <c r="M220" s="62"/>
      <c r="N220" s="62"/>
      <c r="O220" s="62"/>
      <c r="P220" s="62"/>
      <c r="Q220" s="62"/>
      <c r="R220" s="62"/>
      <c r="S220" s="258"/>
      <c r="T220" s="248" t="str">
        <f t="shared" si="31"/>
        <v/>
      </c>
      <c r="U220" s="249" t="str">
        <f t="shared" si="32"/>
        <v/>
      </c>
      <c r="V220" s="294" t="str">
        <f t="shared" si="28"/>
        <v/>
      </c>
      <c r="W220" s="294" t="str">
        <f>IF(((E220="")+(F220="")),"",IF(VLOOKUP(F220,Mannschaften!$A$1:$B$54,2,FALSE)&lt;&gt;E220,"Reiter Mannschaften füllen",""))</f>
        <v/>
      </c>
      <c r="X220" s="248" t="str">
        <f>IF(ISBLANK(C220),"",IF((U220&gt;(LOOKUP(E220,WKNrListe,Übersicht!$O$7:$O$46)))+(U220&lt;(LOOKUP(E220,WKNrListe,Übersicht!$P$7:$P$46))),"JG falsch",""))</f>
        <v/>
      </c>
      <c r="Y220" s="255" t="str">
        <f>IF((A220="")*(B220=""),"",IF(ISERROR(MATCH(E220,WKNrListe,0)),"WK falsch",LOOKUP(E220,WKNrListe,Übersicht!$B$7:$B$46)))</f>
        <v/>
      </c>
      <c r="Z220" s="269" t="str">
        <f>IF(((AJ220=0)*(AH220&lt;&gt;"")*(AK220="-"))+((AJ220&lt;&gt;0)*(AH220&lt;&gt;"")*(AK220="-")),IF(AG220="X",Übersicht!$C$70,Übersicht!$C$69),"-")</f>
        <v>-</v>
      </c>
      <c r="AA220" s="252" t="str">
        <f>IF((($A220="")*($B220=""))+((MID($Y220,1,4)&lt;&gt;"Wahl")*(Deckblatt!$C$14='WK-Vorlagen'!$C$82))+(Deckblatt!$C$14&lt;&gt;'WK-Vorlagen'!$C$82),"",IF(ISERROR(MATCH(VALUE(MID(G220,1,2)),Schwierigkeitsstufen!$G$7:$G$19,0)),"Gerät falsch",LOOKUP(VALUE(MID(G220,1,2)),Schwierigkeitsstufen!$G$7:$G$19,Schwierigkeitsstufen!$H$7:$H$19)))</f>
        <v/>
      </c>
      <c r="AB220" s="250" t="str">
        <f>IF((($A220="")*($B220=""))+((MID($Y220,1,4)&lt;&gt;"Wahl")*(Deckblatt!$C$14='WK-Vorlagen'!$C$82))+(Deckblatt!$C$14&lt;&gt;'WK-Vorlagen'!$C$82),"",IF(ISERROR(MATCH(VALUE(MID(H220,1,2)),Schwierigkeitsstufen!$G$7:$G$19,0)),"Gerät falsch",LOOKUP(VALUE(MID(H220,1,2)),Schwierigkeitsstufen!$G$7:$G$19,Schwierigkeitsstufen!$H$7:$H$19)))</f>
        <v/>
      </c>
      <c r="AC220" s="250" t="str">
        <f>IF((($A220="")*($B220=""))+((MID($Y220,1,4)&lt;&gt;"Wahl")*(Deckblatt!$C$14='WK-Vorlagen'!$C$82))+(Deckblatt!$C$14&lt;&gt;'WK-Vorlagen'!$C$82),"",IF(ISERROR(MATCH(VALUE(MID(I220,1,2)),Schwierigkeitsstufen!$G$7:$G$19,0)),"Gerät falsch",LOOKUP(VALUE(MID(I220,1,2)),Schwierigkeitsstufen!$G$7:$G$19,Schwierigkeitsstufen!$H$7:$H$19)))</f>
        <v/>
      </c>
      <c r="AD220" s="251" t="str">
        <f>IF((($A220="")*($B220=""))+((MID($Y220,1,4)&lt;&gt;"Wahl")*(Deckblatt!$C$14='WK-Vorlagen'!$C$82))+(Deckblatt!$C$14&lt;&gt;'WK-Vorlagen'!$C$82),"",IF(ISERROR(MATCH(VALUE(MID(J220,1,2)),Schwierigkeitsstufen!$G$7:$G$19,0)),"Gerät falsch",LOOKUP(VALUE(MID(J220,1,2)),Schwierigkeitsstufen!$G$7:$G$19,Schwierigkeitsstufen!$H$7:$H$19)))</f>
        <v/>
      </c>
      <c r="AE220" s="211"/>
      <c r="AG220" s="221" t="str">
        <f t="shared" si="27"/>
        <v/>
      </c>
      <c r="AH220" s="222" t="str">
        <f t="shared" si="29"/>
        <v/>
      </c>
      <c r="AI220" s="220">
        <f t="shared" si="34"/>
        <v>4</v>
      </c>
      <c r="AJ220" s="222">
        <f t="shared" si="30"/>
        <v>0</v>
      </c>
      <c r="AK220" s="299" t="str">
        <f>IF(ISERROR(LOOKUP(E220,WKNrListe,Übersicht!$R$7:$R$46)),"-",LOOKUP(E220,WKNrListe,Übersicht!$R$7:$R$46))</f>
        <v>-</v>
      </c>
      <c r="AL220" s="299" t="str">
        <f t="shared" si="33"/>
        <v>-</v>
      </c>
      <c r="AM220" s="303"/>
      <c r="AN220" s="174" t="str">
        <f t="shared" si="26"/>
        <v>Leer</v>
      </c>
    </row>
    <row r="221" spans="1:40" s="174" customFormat="1" ht="15" customHeight="1">
      <c r="A221" s="63"/>
      <c r="B221" s="63"/>
      <c r="C221" s="84"/>
      <c r="D221" s="85"/>
      <c r="E221" s="62"/>
      <c r="F221" s="62"/>
      <c r="G221" s="62"/>
      <c r="H221" s="62"/>
      <c r="I221" s="62"/>
      <c r="J221" s="62"/>
      <c r="K221" s="62"/>
      <c r="L221" s="62"/>
      <c r="M221" s="62"/>
      <c r="N221" s="62"/>
      <c r="O221" s="62"/>
      <c r="P221" s="62"/>
      <c r="Q221" s="62"/>
      <c r="R221" s="62"/>
      <c r="S221" s="258"/>
      <c r="T221" s="248" t="str">
        <f t="shared" si="31"/>
        <v/>
      </c>
      <c r="U221" s="249" t="str">
        <f t="shared" si="32"/>
        <v/>
      </c>
      <c r="V221" s="294" t="str">
        <f t="shared" si="28"/>
        <v/>
      </c>
      <c r="W221" s="294" t="str">
        <f>IF(((E221="")+(F221="")),"",IF(VLOOKUP(F221,Mannschaften!$A$1:$B$54,2,FALSE)&lt;&gt;E221,"Reiter Mannschaften füllen",""))</f>
        <v/>
      </c>
      <c r="X221" s="248" t="str">
        <f>IF(ISBLANK(C221),"",IF((U221&gt;(LOOKUP(E221,WKNrListe,Übersicht!$O$7:$O$46)))+(U221&lt;(LOOKUP(E221,WKNrListe,Übersicht!$P$7:$P$46))),"JG falsch",""))</f>
        <v/>
      </c>
      <c r="Y221" s="255" t="str">
        <f>IF((A221="")*(B221=""),"",IF(ISERROR(MATCH(E221,WKNrListe,0)),"WK falsch",LOOKUP(E221,WKNrListe,Übersicht!$B$7:$B$46)))</f>
        <v/>
      </c>
      <c r="Z221" s="269" t="str">
        <f>IF(((AJ221=0)*(AH221&lt;&gt;"")*(AK221="-"))+((AJ221&lt;&gt;0)*(AH221&lt;&gt;"")*(AK221="-")),IF(AG221="X",Übersicht!$C$70,Übersicht!$C$69),"-")</f>
        <v>-</v>
      </c>
      <c r="AA221" s="252" t="str">
        <f>IF((($A221="")*($B221=""))+((MID($Y221,1,4)&lt;&gt;"Wahl")*(Deckblatt!$C$14='WK-Vorlagen'!$C$82))+(Deckblatt!$C$14&lt;&gt;'WK-Vorlagen'!$C$82),"",IF(ISERROR(MATCH(VALUE(MID(G221,1,2)),Schwierigkeitsstufen!$G$7:$G$19,0)),"Gerät falsch",LOOKUP(VALUE(MID(G221,1,2)),Schwierigkeitsstufen!$G$7:$G$19,Schwierigkeitsstufen!$H$7:$H$19)))</f>
        <v/>
      </c>
      <c r="AB221" s="250" t="str">
        <f>IF((($A221="")*($B221=""))+((MID($Y221,1,4)&lt;&gt;"Wahl")*(Deckblatt!$C$14='WK-Vorlagen'!$C$82))+(Deckblatt!$C$14&lt;&gt;'WK-Vorlagen'!$C$82),"",IF(ISERROR(MATCH(VALUE(MID(H221,1,2)),Schwierigkeitsstufen!$G$7:$G$19,0)),"Gerät falsch",LOOKUP(VALUE(MID(H221,1,2)),Schwierigkeitsstufen!$G$7:$G$19,Schwierigkeitsstufen!$H$7:$H$19)))</f>
        <v/>
      </c>
      <c r="AC221" s="250" t="str">
        <f>IF((($A221="")*($B221=""))+((MID($Y221,1,4)&lt;&gt;"Wahl")*(Deckblatt!$C$14='WK-Vorlagen'!$C$82))+(Deckblatt!$C$14&lt;&gt;'WK-Vorlagen'!$C$82),"",IF(ISERROR(MATCH(VALUE(MID(I221,1,2)),Schwierigkeitsstufen!$G$7:$G$19,0)),"Gerät falsch",LOOKUP(VALUE(MID(I221,1,2)),Schwierigkeitsstufen!$G$7:$G$19,Schwierigkeitsstufen!$H$7:$H$19)))</f>
        <v/>
      </c>
      <c r="AD221" s="251" t="str">
        <f>IF((($A221="")*($B221=""))+((MID($Y221,1,4)&lt;&gt;"Wahl")*(Deckblatt!$C$14='WK-Vorlagen'!$C$82))+(Deckblatt!$C$14&lt;&gt;'WK-Vorlagen'!$C$82),"",IF(ISERROR(MATCH(VALUE(MID(J221,1,2)),Schwierigkeitsstufen!$G$7:$G$19,0)),"Gerät falsch",LOOKUP(VALUE(MID(J221,1,2)),Schwierigkeitsstufen!$G$7:$G$19,Schwierigkeitsstufen!$H$7:$H$19)))</f>
        <v/>
      </c>
      <c r="AE221" s="211"/>
      <c r="AG221" s="221" t="str">
        <f t="shared" si="27"/>
        <v/>
      </c>
      <c r="AH221" s="222" t="str">
        <f t="shared" si="29"/>
        <v/>
      </c>
      <c r="AI221" s="220">
        <f t="shared" si="34"/>
        <v>4</v>
      </c>
      <c r="AJ221" s="222">
        <f t="shared" si="30"/>
        <v>0</v>
      </c>
      <c r="AK221" s="299" t="str">
        <f>IF(ISERROR(LOOKUP(E221,WKNrListe,Übersicht!$R$7:$R$46)),"-",LOOKUP(E221,WKNrListe,Übersicht!$R$7:$R$46))</f>
        <v>-</v>
      </c>
      <c r="AL221" s="299" t="str">
        <f t="shared" si="33"/>
        <v>-</v>
      </c>
      <c r="AM221" s="303"/>
      <c r="AN221" s="174" t="str">
        <f t="shared" si="26"/>
        <v>Leer</v>
      </c>
    </row>
    <row r="222" spans="1:40" s="174" customFormat="1" ht="15" customHeight="1">
      <c r="A222" s="63"/>
      <c r="B222" s="63"/>
      <c r="C222" s="84"/>
      <c r="D222" s="85"/>
      <c r="E222" s="62"/>
      <c r="F222" s="62"/>
      <c r="G222" s="62"/>
      <c r="H222" s="62"/>
      <c r="I222" s="62"/>
      <c r="J222" s="62"/>
      <c r="K222" s="62"/>
      <c r="L222" s="62"/>
      <c r="M222" s="62"/>
      <c r="N222" s="62"/>
      <c r="O222" s="62"/>
      <c r="P222" s="62"/>
      <c r="Q222" s="62"/>
      <c r="R222" s="62"/>
      <c r="S222" s="258"/>
      <c r="T222" s="248" t="str">
        <f t="shared" si="31"/>
        <v/>
      </c>
      <c r="U222" s="249" t="str">
        <f t="shared" si="32"/>
        <v/>
      </c>
      <c r="V222" s="294" t="str">
        <f t="shared" si="28"/>
        <v/>
      </c>
      <c r="W222" s="294" t="str">
        <f>IF(((E222="")+(F222="")),"",IF(VLOOKUP(F222,Mannschaften!$A$1:$B$54,2,FALSE)&lt;&gt;E222,"Reiter Mannschaften füllen",""))</f>
        <v/>
      </c>
      <c r="X222" s="248" t="str">
        <f>IF(ISBLANK(C222),"",IF((U222&gt;(LOOKUP(E222,WKNrListe,Übersicht!$O$7:$O$46)))+(U222&lt;(LOOKUP(E222,WKNrListe,Übersicht!$P$7:$P$46))),"JG falsch",""))</f>
        <v/>
      </c>
      <c r="Y222" s="255" t="str">
        <f>IF((A222="")*(B222=""),"",IF(ISERROR(MATCH(E222,WKNrListe,0)),"WK falsch",LOOKUP(E222,WKNrListe,Übersicht!$B$7:$B$46)))</f>
        <v/>
      </c>
      <c r="Z222" s="269" t="str">
        <f>IF(((AJ222=0)*(AH222&lt;&gt;"")*(AK222="-"))+((AJ222&lt;&gt;0)*(AH222&lt;&gt;"")*(AK222="-")),IF(AG222="X",Übersicht!$C$70,Übersicht!$C$69),"-")</f>
        <v>-</v>
      </c>
      <c r="AA222" s="252" t="str">
        <f>IF((($A222="")*($B222=""))+((MID($Y222,1,4)&lt;&gt;"Wahl")*(Deckblatt!$C$14='WK-Vorlagen'!$C$82))+(Deckblatt!$C$14&lt;&gt;'WK-Vorlagen'!$C$82),"",IF(ISERROR(MATCH(VALUE(MID(G222,1,2)),Schwierigkeitsstufen!$G$7:$G$19,0)),"Gerät falsch",LOOKUP(VALUE(MID(G222,1,2)),Schwierigkeitsstufen!$G$7:$G$19,Schwierigkeitsstufen!$H$7:$H$19)))</f>
        <v/>
      </c>
      <c r="AB222" s="250" t="str">
        <f>IF((($A222="")*($B222=""))+((MID($Y222,1,4)&lt;&gt;"Wahl")*(Deckblatt!$C$14='WK-Vorlagen'!$C$82))+(Deckblatt!$C$14&lt;&gt;'WK-Vorlagen'!$C$82),"",IF(ISERROR(MATCH(VALUE(MID(H222,1,2)),Schwierigkeitsstufen!$G$7:$G$19,0)),"Gerät falsch",LOOKUP(VALUE(MID(H222,1,2)),Schwierigkeitsstufen!$G$7:$G$19,Schwierigkeitsstufen!$H$7:$H$19)))</f>
        <v/>
      </c>
      <c r="AC222" s="250" t="str">
        <f>IF((($A222="")*($B222=""))+((MID($Y222,1,4)&lt;&gt;"Wahl")*(Deckblatt!$C$14='WK-Vorlagen'!$C$82))+(Deckblatt!$C$14&lt;&gt;'WK-Vorlagen'!$C$82),"",IF(ISERROR(MATCH(VALUE(MID(I222,1,2)),Schwierigkeitsstufen!$G$7:$G$19,0)),"Gerät falsch",LOOKUP(VALUE(MID(I222,1,2)),Schwierigkeitsstufen!$G$7:$G$19,Schwierigkeitsstufen!$H$7:$H$19)))</f>
        <v/>
      </c>
      <c r="AD222" s="251" t="str">
        <f>IF((($A222="")*($B222=""))+((MID($Y222,1,4)&lt;&gt;"Wahl")*(Deckblatt!$C$14='WK-Vorlagen'!$C$82))+(Deckblatt!$C$14&lt;&gt;'WK-Vorlagen'!$C$82),"",IF(ISERROR(MATCH(VALUE(MID(J222,1,2)),Schwierigkeitsstufen!$G$7:$G$19,0)),"Gerät falsch",LOOKUP(VALUE(MID(J222,1,2)),Schwierigkeitsstufen!$G$7:$G$19,Schwierigkeitsstufen!$H$7:$H$19)))</f>
        <v/>
      </c>
      <c r="AE222" s="211"/>
      <c r="AG222" s="221" t="str">
        <f t="shared" si="27"/>
        <v/>
      </c>
      <c r="AH222" s="222" t="str">
        <f t="shared" si="29"/>
        <v/>
      </c>
      <c r="AI222" s="220">
        <f t="shared" si="34"/>
        <v>4</v>
      </c>
      <c r="AJ222" s="222">
        <f t="shared" si="30"/>
        <v>0</v>
      </c>
      <c r="AK222" s="299" t="str">
        <f>IF(ISERROR(LOOKUP(E222,WKNrListe,Übersicht!$R$7:$R$46)),"-",LOOKUP(E222,WKNrListe,Übersicht!$R$7:$R$46))</f>
        <v>-</v>
      </c>
      <c r="AL222" s="299" t="str">
        <f t="shared" si="33"/>
        <v>-</v>
      </c>
      <c r="AM222" s="303"/>
      <c r="AN222" s="174" t="str">
        <f t="shared" si="26"/>
        <v>Leer</v>
      </c>
    </row>
    <row r="223" spans="1:40" s="174" customFormat="1" ht="15" customHeight="1">
      <c r="A223" s="63"/>
      <c r="B223" s="63"/>
      <c r="C223" s="84"/>
      <c r="D223" s="85"/>
      <c r="E223" s="62"/>
      <c r="F223" s="62"/>
      <c r="G223" s="62"/>
      <c r="H223" s="62"/>
      <c r="I223" s="62"/>
      <c r="J223" s="62"/>
      <c r="K223" s="62"/>
      <c r="L223" s="62"/>
      <c r="M223" s="62"/>
      <c r="N223" s="62"/>
      <c r="O223" s="62"/>
      <c r="P223" s="62"/>
      <c r="Q223" s="62"/>
      <c r="R223" s="62"/>
      <c r="S223" s="258"/>
      <c r="T223" s="248" t="str">
        <f t="shared" si="31"/>
        <v/>
      </c>
      <c r="U223" s="249" t="str">
        <f t="shared" si="32"/>
        <v/>
      </c>
      <c r="V223" s="294" t="str">
        <f t="shared" si="28"/>
        <v/>
      </c>
      <c r="W223" s="294" t="str">
        <f>IF(((E223="")+(F223="")),"",IF(VLOOKUP(F223,Mannschaften!$A$1:$B$54,2,FALSE)&lt;&gt;E223,"Reiter Mannschaften füllen",""))</f>
        <v/>
      </c>
      <c r="X223" s="248" t="str">
        <f>IF(ISBLANK(C223),"",IF((U223&gt;(LOOKUP(E223,WKNrListe,Übersicht!$O$7:$O$46)))+(U223&lt;(LOOKUP(E223,WKNrListe,Übersicht!$P$7:$P$46))),"JG falsch",""))</f>
        <v/>
      </c>
      <c r="Y223" s="255" t="str">
        <f>IF((A223="")*(B223=""),"",IF(ISERROR(MATCH(E223,WKNrListe,0)),"WK falsch",LOOKUP(E223,WKNrListe,Übersicht!$B$7:$B$46)))</f>
        <v/>
      </c>
      <c r="Z223" s="269" t="str">
        <f>IF(((AJ223=0)*(AH223&lt;&gt;"")*(AK223="-"))+((AJ223&lt;&gt;0)*(AH223&lt;&gt;"")*(AK223="-")),IF(AG223="X",Übersicht!$C$70,Übersicht!$C$69),"-")</f>
        <v>-</v>
      </c>
      <c r="AA223" s="252" t="str">
        <f>IF((($A223="")*($B223=""))+((MID($Y223,1,4)&lt;&gt;"Wahl")*(Deckblatt!$C$14='WK-Vorlagen'!$C$82))+(Deckblatt!$C$14&lt;&gt;'WK-Vorlagen'!$C$82),"",IF(ISERROR(MATCH(VALUE(MID(G223,1,2)),Schwierigkeitsstufen!$G$7:$G$19,0)),"Gerät falsch",LOOKUP(VALUE(MID(G223,1,2)),Schwierigkeitsstufen!$G$7:$G$19,Schwierigkeitsstufen!$H$7:$H$19)))</f>
        <v/>
      </c>
      <c r="AB223" s="250" t="str">
        <f>IF((($A223="")*($B223=""))+((MID($Y223,1,4)&lt;&gt;"Wahl")*(Deckblatt!$C$14='WK-Vorlagen'!$C$82))+(Deckblatt!$C$14&lt;&gt;'WK-Vorlagen'!$C$82),"",IF(ISERROR(MATCH(VALUE(MID(H223,1,2)),Schwierigkeitsstufen!$G$7:$G$19,0)),"Gerät falsch",LOOKUP(VALUE(MID(H223,1,2)),Schwierigkeitsstufen!$G$7:$G$19,Schwierigkeitsstufen!$H$7:$H$19)))</f>
        <v/>
      </c>
      <c r="AC223" s="250" t="str">
        <f>IF((($A223="")*($B223=""))+((MID($Y223,1,4)&lt;&gt;"Wahl")*(Deckblatt!$C$14='WK-Vorlagen'!$C$82))+(Deckblatt!$C$14&lt;&gt;'WK-Vorlagen'!$C$82),"",IF(ISERROR(MATCH(VALUE(MID(I223,1,2)),Schwierigkeitsstufen!$G$7:$G$19,0)),"Gerät falsch",LOOKUP(VALUE(MID(I223,1,2)),Schwierigkeitsstufen!$G$7:$G$19,Schwierigkeitsstufen!$H$7:$H$19)))</f>
        <v/>
      </c>
      <c r="AD223" s="251" t="str">
        <f>IF((($A223="")*($B223=""))+((MID($Y223,1,4)&lt;&gt;"Wahl")*(Deckblatt!$C$14='WK-Vorlagen'!$C$82))+(Deckblatt!$C$14&lt;&gt;'WK-Vorlagen'!$C$82),"",IF(ISERROR(MATCH(VALUE(MID(J223,1,2)),Schwierigkeitsstufen!$G$7:$G$19,0)),"Gerät falsch",LOOKUP(VALUE(MID(J223,1,2)),Schwierigkeitsstufen!$G$7:$G$19,Schwierigkeitsstufen!$H$7:$H$19)))</f>
        <v/>
      </c>
      <c r="AE223" s="211"/>
      <c r="AG223" s="221" t="str">
        <f t="shared" si="27"/>
        <v/>
      </c>
      <c r="AH223" s="222" t="str">
        <f t="shared" si="29"/>
        <v/>
      </c>
      <c r="AI223" s="220">
        <f t="shared" si="34"/>
        <v>4</v>
      </c>
      <c r="AJ223" s="222">
        <f t="shared" si="30"/>
        <v>0</v>
      </c>
      <c r="AK223" s="299" t="str">
        <f>IF(ISERROR(LOOKUP(E223,WKNrListe,Übersicht!$R$7:$R$46)),"-",LOOKUP(E223,WKNrListe,Übersicht!$R$7:$R$46))</f>
        <v>-</v>
      </c>
      <c r="AL223" s="299" t="str">
        <f t="shared" si="33"/>
        <v>-</v>
      </c>
      <c r="AM223" s="303"/>
      <c r="AN223" s="174" t="str">
        <f t="shared" si="26"/>
        <v>Leer</v>
      </c>
    </row>
    <row r="224" spans="1:40" s="174" customFormat="1" ht="15" customHeight="1">
      <c r="A224" s="63"/>
      <c r="B224" s="63"/>
      <c r="C224" s="84"/>
      <c r="D224" s="85"/>
      <c r="E224" s="62"/>
      <c r="F224" s="62"/>
      <c r="G224" s="62"/>
      <c r="H224" s="62"/>
      <c r="I224" s="62"/>
      <c r="J224" s="62"/>
      <c r="K224" s="62"/>
      <c r="L224" s="62"/>
      <c r="M224" s="62"/>
      <c r="N224" s="62"/>
      <c r="O224" s="62"/>
      <c r="P224" s="62"/>
      <c r="Q224" s="62"/>
      <c r="R224" s="62"/>
      <c r="S224" s="258"/>
      <c r="T224" s="248" t="str">
        <f t="shared" si="31"/>
        <v/>
      </c>
      <c r="U224" s="249" t="str">
        <f t="shared" si="32"/>
        <v/>
      </c>
      <c r="V224" s="294" t="str">
        <f t="shared" si="28"/>
        <v/>
      </c>
      <c r="W224" s="294" t="str">
        <f>IF(((E224="")+(F224="")),"",IF(VLOOKUP(F224,Mannschaften!$A$1:$B$54,2,FALSE)&lt;&gt;E224,"Reiter Mannschaften füllen",""))</f>
        <v/>
      </c>
      <c r="X224" s="248" t="str">
        <f>IF(ISBLANK(C224),"",IF((U224&gt;(LOOKUP(E224,WKNrListe,Übersicht!$O$7:$O$46)))+(U224&lt;(LOOKUP(E224,WKNrListe,Übersicht!$P$7:$P$46))),"JG falsch",""))</f>
        <v/>
      </c>
      <c r="Y224" s="255" t="str">
        <f>IF((A224="")*(B224=""),"",IF(ISERROR(MATCH(E224,WKNrListe,0)),"WK falsch",LOOKUP(E224,WKNrListe,Übersicht!$B$7:$B$46)))</f>
        <v/>
      </c>
      <c r="Z224" s="269" t="str">
        <f>IF(((AJ224=0)*(AH224&lt;&gt;"")*(AK224="-"))+((AJ224&lt;&gt;0)*(AH224&lt;&gt;"")*(AK224="-")),IF(AG224="X",Übersicht!$C$70,Übersicht!$C$69),"-")</f>
        <v>-</v>
      </c>
      <c r="AA224" s="252" t="str">
        <f>IF((($A224="")*($B224=""))+((MID($Y224,1,4)&lt;&gt;"Wahl")*(Deckblatt!$C$14='WK-Vorlagen'!$C$82))+(Deckblatt!$C$14&lt;&gt;'WK-Vorlagen'!$C$82),"",IF(ISERROR(MATCH(VALUE(MID(G224,1,2)),Schwierigkeitsstufen!$G$7:$G$19,0)),"Gerät falsch",LOOKUP(VALUE(MID(G224,1,2)),Schwierigkeitsstufen!$G$7:$G$19,Schwierigkeitsstufen!$H$7:$H$19)))</f>
        <v/>
      </c>
      <c r="AB224" s="250" t="str">
        <f>IF((($A224="")*($B224=""))+((MID($Y224,1,4)&lt;&gt;"Wahl")*(Deckblatt!$C$14='WK-Vorlagen'!$C$82))+(Deckblatt!$C$14&lt;&gt;'WK-Vorlagen'!$C$82),"",IF(ISERROR(MATCH(VALUE(MID(H224,1,2)),Schwierigkeitsstufen!$G$7:$G$19,0)),"Gerät falsch",LOOKUP(VALUE(MID(H224,1,2)),Schwierigkeitsstufen!$G$7:$G$19,Schwierigkeitsstufen!$H$7:$H$19)))</f>
        <v/>
      </c>
      <c r="AC224" s="250" t="str">
        <f>IF((($A224="")*($B224=""))+((MID($Y224,1,4)&lt;&gt;"Wahl")*(Deckblatt!$C$14='WK-Vorlagen'!$C$82))+(Deckblatt!$C$14&lt;&gt;'WK-Vorlagen'!$C$82),"",IF(ISERROR(MATCH(VALUE(MID(I224,1,2)),Schwierigkeitsstufen!$G$7:$G$19,0)),"Gerät falsch",LOOKUP(VALUE(MID(I224,1,2)),Schwierigkeitsstufen!$G$7:$G$19,Schwierigkeitsstufen!$H$7:$H$19)))</f>
        <v/>
      </c>
      <c r="AD224" s="251" t="str">
        <f>IF((($A224="")*($B224=""))+((MID($Y224,1,4)&lt;&gt;"Wahl")*(Deckblatt!$C$14='WK-Vorlagen'!$C$82))+(Deckblatt!$C$14&lt;&gt;'WK-Vorlagen'!$C$82),"",IF(ISERROR(MATCH(VALUE(MID(J224,1,2)),Schwierigkeitsstufen!$G$7:$G$19,0)),"Gerät falsch",LOOKUP(VALUE(MID(J224,1,2)),Schwierigkeitsstufen!$G$7:$G$19,Schwierigkeitsstufen!$H$7:$H$19)))</f>
        <v/>
      </c>
      <c r="AE224" s="211"/>
      <c r="AG224" s="221" t="str">
        <f t="shared" si="27"/>
        <v/>
      </c>
      <c r="AH224" s="222" t="str">
        <f t="shared" si="29"/>
        <v/>
      </c>
      <c r="AI224" s="220">
        <f t="shared" si="34"/>
        <v>4</v>
      </c>
      <c r="AJ224" s="222">
        <f t="shared" si="30"/>
        <v>0</v>
      </c>
      <c r="AK224" s="299" t="str">
        <f>IF(ISERROR(LOOKUP(E224,WKNrListe,Übersicht!$R$7:$R$46)),"-",LOOKUP(E224,WKNrListe,Übersicht!$R$7:$R$46))</f>
        <v>-</v>
      </c>
      <c r="AL224" s="299" t="str">
        <f t="shared" si="33"/>
        <v>-</v>
      </c>
      <c r="AM224" s="303"/>
      <c r="AN224" s="174" t="str">
        <f t="shared" si="26"/>
        <v>Leer</v>
      </c>
    </row>
    <row r="225" spans="1:40" s="174" customFormat="1" ht="15" customHeight="1">
      <c r="A225" s="63"/>
      <c r="B225" s="63"/>
      <c r="C225" s="84"/>
      <c r="D225" s="85"/>
      <c r="E225" s="62"/>
      <c r="F225" s="62"/>
      <c r="G225" s="62"/>
      <c r="H225" s="62"/>
      <c r="I225" s="62"/>
      <c r="J225" s="62"/>
      <c r="K225" s="62"/>
      <c r="L225" s="62"/>
      <c r="M225" s="62"/>
      <c r="N225" s="62"/>
      <c r="O225" s="62"/>
      <c r="P225" s="62"/>
      <c r="Q225" s="62"/>
      <c r="R225" s="62"/>
      <c r="S225" s="258"/>
      <c r="T225" s="248" t="str">
        <f t="shared" si="31"/>
        <v/>
      </c>
      <c r="U225" s="249" t="str">
        <f t="shared" si="32"/>
        <v/>
      </c>
      <c r="V225" s="294" t="str">
        <f t="shared" si="28"/>
        <v/>
      </c>
      <c r="W225" s="294" t="str">
        <f>IF(((E225="")+(F225="")),"",IF(VLOOKUP(F225,Mannschaften!$A$1:$B$54,2,FALSE)&lt;&gt;E225,"Reiter Mannschaften füllen",""))</f>
        <v/>
      </c>
      <c r="X225" s="248" t="str">
        <f>IF(ISBLANK(C225),"",IF((U225&gt;(LOOKUP(E225,WKNrListe,Übersicht!$O$7:$O$46)))+(U225&lt;(LOOKUP(E225,WKNrListe,Übersicht!$P$7:$P$46))),"JG falsch",""))</f>
        <v/>
      </c>
      <c r="Y225" s="255" t="str">
        <f>IF((A225="")*(B225=""),"",IF(ISERROR(MATCH(E225,WKNrListe,0)),"WK falsch",LOOKUP(E225,WKNrListe,Übersicht!$B$7:$B$46)))</f>
        <v/>
      </c>
      <c r="Z225" s="269" t="str">
        <f>IF(((AJ225=0)*(AH225&lt;&gt;"")*(AK225="-"))+((AJ225&lt;&gt;0)*(AH225&lt;&gt;"")*(AK225="-")),IF(AG225="X",Übersicht!$C$70,Übersicht!$C$69),"-")</f>
        <v>-</v>
      </c>
      <c r="AA225" s="252" t="str">
        <f>IF((($A225="")*($B225=""))+((MID($Y225,1,4)&lt;&gt;"Wahl")*(Deckblatt!$C$14='WK-Vorlagen'!$C$82))+(Deckblatt!$C$14&lt;&gt;'WK-Vorlagen'!$C$82),"",IF(ISERROR(MATCH(VALUE(MID(G225,1,2)),Schwierigkeitsstufen!$G$7:$G$19,0)),"Gerät falsch",LOOKUP(VALUE(MID(G225,1,2)),Schwierigkeitsstufen!$G$7:$G$19,Schwierigkeitsstufen!$H$7:$H$19)))</f>
        <v/>
      </c>
      <c r="AB225" s="250" t="str">
        <f>IF((($A225="")*($B225=""))+((MID($Y225,1,4)&lt;&gt;"Wahl")*(Deckblatt!$C$14='WK-Vorlagen'!$C$82))+(Deckblatt!$C$14&lt;&gt;'WK-Vorlagen'!$C$82),"",IF(ISERROR(MATCH(VALUE(MID(H225,1,2)),Schwierigkeitsstufen!$G$7:$G$19,0)),"Gerät falsch",LOOKUP(VALUE(MID(H225,1,2)),Schwierigkeitsstufen!$G$7:$G$19,Schwierigkeitsstufen!$H$7:$H$19)))</f>
        <v/>
      </c>
      <c r="AC225" s="250" t="str">
        <f>IF((($A225="")*($B225=""))+((MID($Y225,1,4)&lt;&gt;"Wahl")*(Deckblatt!$C$14='WK-Vorlagen'!$C$82))+(Deckblatt!$C$14&lt;&gt;'WK-Vorlagen'!$C$82),"",IF(ISERROR(MATCH(VALUE(MID(I225,1,2)),Schwierigkeitsstufen!$G$7:$G$19,0)),"Gerät falsch",LOOKUP(VALUE(MID(I225,1,2)),Schwierigkeitsstufen!$G$7:$G$19,Schwierigkeitsstufen!$H$7:$H$19)))</f>
        <v/>
      </c>
      <c r="AD225" s="251" t="str">
        <f>IF((($A225="")*($B225=""))+((MID($Y225,1,4)&lt;&gt;"Wahl")*(Deckblatt!$C$14='WK-Vorlagen'!$C$82))+(Deckblatt!$C$14&lt;&gt;'WK-Vorlagen'!$C$82),"",IF(ISERROR(MATCH(VALUE(MID(J225,1,2)),Schwierigkeitsstufen!$G$7:$G$19,0)),"Gerät falsch",LOOKUP(VALUE(MID(J225,1,2)),Schwierigkeitsstufen!$G$7:$G$19,Schwierigkeitsstufen!$H$7:$H$19)))</f>
        <v/>
      </c>
      <c r="AE225" s="211"/>
      <c r="AG225" s="221" t="str">
        <f t="shared" si="27"/>
        <v/>
      </c>
      <c r="AH225" s="222" t="str">
        <f t="shared" si="29"/>
        <v/>
      </c>
      <c r="AI225" s="220">
        <f t="shared" si="34"/>
        <v>4</v>
      </c>
      <c r="AJ225" s="222">
        <f t="shared" si="30"/>
        <v>0</v>
      </c>
      <c r="AK225" s="299" t="str">
        <f>IF(ISERROR(LOOKUP(E225,WKNrListe,Übersicht!$R$7:$R$46)),"-",LOOKUP(E225,WKNrListe,Übersicht!$R$7:$R$46))</f>
        <v>-</v>
      </c>
      <c r="AL225" s="299" t="str">
        <f t="shared" si="33"/>
        <v>-</v>
      </c>
      <c r="AM225" s="303"/>
      <c r="AN225" s="174" t="str">
        <f t="shared" si="26"/>
        <v>Leer</v>
      </c>
    </row>
    <row r="226" spans="1:40" s="174" customFormat="1" ht="15" customHeight="1">
      <c r="A226" s="63"/>
      <c r="B226" s="63"/>
      <c r="C226" s="84"/>
      <c r="D226" s="85"/>
      <c r="E226" s="62"/>
      <c r="F226" s="62"/>
      <c r="G226" s="62"/>
      <c r="H226" s="62"/>
      <c r="I226" s="62"/>
      <c r="J226" s="62"/>
      <c r="K226" s="62"/>
      <c r="L226" s="62"/>
      <c r="M226" s="62"/>
      <c r="N226" s="62"/>
      <c r="O226" s="62"/>
      <c r="P226" s="62"/>
      <c r="Q226" s="62"/>
      <c r="R226" s="62"/>
      <c r="S226" s="258"/>
      <c r="T226" s="248" t="str">
        <f t="shared" si="31"/>
        <v/>
      </c>
      <c r="U226" s="249" t="str">
        <f t="shared" si="32"/>
        <v/>
      </c>
      <c r="V226" s="294" t="str">
        <f t="shared" si="28"/>
        <v/>
      </c>
      <c r="W226" s="294" t="str">
        <f>IF(((E226="")+(F226="")),"",IF(VLOOKUP(F226,Mannschaften!$A$1:$B$54,2,FALSE)&lt;&gt;E226,"Reiter Mannschaften füllen",""))</f>
        <v/>
      </c>
      <c r="X226" s="248" t="str">
        <f>IF(ISBLANK(C226),"",IF((U226&gt;(LOOKUP(E226,WKNrListe,Übersicht!$O$7:$O$46)))+(U226&lt;(LOOKUP(E226,WKNrListe,Übersicht!$P$7:$P$46))),"JG falsch",""))</f>
        <v/>
      </c>
      <c r="Y226" s="255" t="str">
        <f>IF((A226="")*(B226=""),"",IF(ISERROR(MATCH(E226,WKNrListe,0)),"WK falsch",LOOKUP(E226,WKNrListe,Übersicht!$B$7:$B$46)))</f>
        <v/>
      </c>
      <c r="Z226" s="269" t="str">
        <f>IF(((AJ226=0)*(AH226&lt;&gt;"")*(AK226="-"))+((AJ226&lt;&gt;0)*(AH226&lt;&gt;"")*(AK226="-")),IF(AG226="X",Übersicht!$C$70,Übersicht!$C$69),"-")</f>
        <v>-</v>
      </c>
      <c r="AA226" s="252" t="str">
        <f>IF((($A226="")*($B226=""))+((MID($Y226,1,4)&lt;&gt;"Wahl")*(Deckblatt!$C$14='WK-Vorlagen'!$C$82))+(Deckblatt!$C$14&lt;&gt;'WK-Vorlagen'!$C$82),"",IF(ISERROR(MATCH(VALUE(MID(G226,1,2)),Schwierigkeitsstufen!$G$7:$G$19,0)),"Gerät falsch",LOOKUP(VALUE(MID(G226,1,2)),Schwierigkeitsstufen!$G$7:$G$19,Schwierigkeitsstufen!$H$7:$H$19)))</f>
        <v/>
      </c>
      <c r="AB226" s="250" t="str">
        <f>IF((($A226="")*($B226=""))+((MID($Y226,1,4)&lt;&gt;"Wahl")*(Deckblatt!$C$14='WK-Vorlagen'!$C$82))+(Deckblatt!$C$14&lt;&gt;'WK-Vorlagen'!$C$82),"",IF(ISERROR(MATCH(VALUE(MID(H226,1,2)),Schwierigkeitsstufen!$G$7:$G$19,0)),"Gerät falsch",LOOKUP(VALUE(MID(H226,1,2)),Schwierigkeitsstufen!$G$7:$G$19,Schwierigkeitsstufen!$H$7:$H$19)))</f>
        <v/>
      </c>
      <c r="AC226" s="250" t="str">
        <f>IF((($A226="")*($B226=""))+((MID($Y226,1,4)&lt;&gt;"Wahl")*(Deckblatt!$C$14='WK-Vorlagen'!$C$82))+(Deckblatt!$C$14&lt;&gt;'WK-Vorlagen'!$C$82),"",IF(ISERROR(MATCH(VALUE(MID(I226,1,2)),Schwierigkeitsstufen!$G$7:$G$19,0)),"Gerät falsch",LOOKUP(VALUE(MID(I226,1,2)),Schwierigkeitsstufen!$G$7:$G$19,Schwierigkeitsstufen!$H$7:$H$19)))</f>
        <v/>
      </c>
      <c r="AD226" s="251" t="str">
        <f>IF((($A226="")*($B226=""))+((MID($Y226,1,4)&lt;&gt;"Wahl")*(Deckblatt!$C$14='WK-Vorlagen'!$C$82))+(Deckblatt!$C$14&lt;&gt;'WK-Vorlagen'!$C$82),"",IF(ISERROR(MATCH(VALUE(MID(J226,1,2)),Schwierigkeitsstufen!$G$7:$G$19,0)),"Gerät falsch",LOOKUP(VALUE(MID(J226,1,2)),Schwierigkeitsstufen!$G$7:$G$19,Schwierigkeitsstufen!$H$7:$H$19)))</f>
        <v/>
      </c>
      <c r="AE226" s="211"/>
      <c r="AG226" s="221" t="str">
        <f t="shared" si="27"/>
        <v/>
      </c>
      <c r="AH226" s="222" t="str">
        <f t="shared" si="29"/>
        <v/>
      </c>
      <c r="AI226" s="220">
        <f t="shared" si="34"/>
        <v>4</v>
      </c>
      <c r="AJ226" s="222">
        <f t="shared" si="30"/>
        <v>0</v>
      </c>
      <c r="AK226" s="299" t="str">
        <f>IF(ISERROR(LOOKUP(E226,WKNrListe,Übersicht!$R$7:$R$46)),"-",LOOKUP(E226,WKNrListe,Übersicht!$R$7:$R$46))</f>
        <v>-</v>
      </c>
      <c r="AL226" s="299" t="str">
        <f t="shared" si="33"/>
        <v>-</v>
      </c>
      <c r="AM226" s="303"/>
      <c r="AN226" s="174" t="str">
        <f t="shared" si="26"/>
        <v>Leer</v>
      </c>
    </row>
    <row r="227" spans="1:40" s="174" customFormat="1" ht="15" customHeight="1">
      <c r="A227" s="63"/>
      <c r="B227" s="63"/>
      <c r="C227" s="84"/>
      <c r="D227" s="85"/>
      <c r="E227" s="62"/>
      <c r="F227" s="62"/>
      <c r="G227" s="62"/>
      <c r="H227" s="62"/>
      <c r="I227" s="62"/>
      <c r="J227" s="62"/>
      <c r="K227" s="62"/>
      <c r="L227" s="62"/>
      <c r="M227" s="62"/>
      <c r="N227" s="62"/>
      <c r="O227" s="62"/>
      <c r="P227" s="62"/>
      <c r="Q227" s="62"/>
      <c r="R227" s="62"/>
      <c r="S227" s="258"/>
      <c r="T227" s="248" t="str">
        <f t="shared" si="31"/>
        <v/>
      </c>
      <c r="U227" s="249" t="str">
        <f t="shared" si="32"/>
        <v/>
      </c>
      <c r="V227" s="294" t="str">
        <f t="shared" si="28"/>
        <v/>
      </c>
      <c r="W227" s="294" t="str">
        <f>IF(((E227="")+(F227="")),"",IF(VLOOKUP(F227,Mannschaften!$A$1:$B$54,2,FALSE)&lt;&gt;E227,"Reiter Mannschaften füllen",""))</f>
        <v/>
      </c>
      <c r="X227" s="248" t="str">
        <f>IF(ISBLANK(C227),"",IF((U227&gt;(LOOKUP(E227,WKNrListe,Übersicht!$O$7:$O$46)))+(U227&lt;(LOOKUP(E227,WKNrListe,Übersicht!$P$7:$P$46))),"JG falsch",""))</f>
        <v/>
      </c>
      <c r="Y227" s="255" t="str">
        <f>IF((A227="")*(B227=""),"",IF(ISERROR(MATCH(E227,WKNrListe,0)),"WK falsch",LOOKUP(E227,WKNrListe,Übersicht!$B$7:$B$46)))</f>
        <v/>
      </c>
      <c r="Z227" s="269" t="str">
        <f>IF(((AJ227=0)*(AH227&lt;&gt;"")*(AK227="-"))+((AJ227&lt;&gt;0)*(AH227&lt;&gt;"")*(AK227="-")),IF(AG227="X",Übersicht!$C$70,Übersicht!$C$69),"-")</f>
        <v>-</v>
      </c>
      <c r="AA227" s="252" t="str">
        <f>IF((($A227="")*($B227=""))+((MID($Y227,1,4)&lt;&gt;"Wahl")*(Deckblatt!$C$14='WK-Vorlagen'!$C$82))+(Deckblatt!$C$14&lt;&gt;'WK-Vorlagen'!$C$82),"",IF(ISERROR(MATCH(VALUE(MID(G227,1,2)),Schwierigkeitsstufen!$G$7:$G$19,0)),"Gerät falsch",LOOKUP(VALUE(MID(G227,1,2)),Schwierigkeitsstufen!$G$7:$G$19,Schwierigkeitsstufen!$H$7:$H$19)))</f>
        <v/>
      </c>
      <c r="AB227" s="250" t="str">
        <f>IF((($A227="")*($B227=""))+((MID($Y227,1,4)&lt;&gt;"Wahl")*(Deckblatt!$C$14='WK-Vorlagen'!$C$82))+(Deckblatt!$C$14&lt;&gt;'WK-Vorlagen'!$C$82),"",IF(ISERROR(MATCH(VALUE(MID(H227,1,2)),Schwierigkeitsstufen!$G$7:$G$19,0)),"Gerät falsch",LOOKUP(VALUE(MID(H227,1,2)),Schwierigkeitsstufen!$G$7:$G$19,Schwierigkeitsstufen!$H$7:$H$19)))</f>
        <v/>
      </c>
      <c r="AC227" s="250" t="str">
        <f>IF((($A227="")*($B227=""))+((MID($Y227,1,4)&lt;&gt;"Wahl")*(Deckblatt!$C$14='WK-Vorlagen'!$C$82))+(Deckblatt!$C$14&lt;&gt;'WK-Vorlagen'!$C$82),"",IF(ISERROR(MATCH(VALUE(MID(I227,1,2)),Schwierigkeitsstufen!$G$7:$G$19,0)),"Gerät falsch",LOOKUP(VALUE(MID(I227,1,2)),Schwierigkeitsstufen!$G$7:$G$19,Schwierigkeitsstufen!$H$7:$H$19)))</f>
        <v/>
      </c>
      <c r="AD227" s="251" t="str">
        <f>IF((($A227="")*($B227=""))+((MID($Y227,1,4)&lt;&gt;"Wahl")*(Deckblatt!$C$14='WK-Vorlagen'!$C$82))+(Deckblatt!$C$14&lt;&gt;'WK-Vorlagen'!$C$82),"",IF(ISERROR(MATCH(VALUE(MID(J227,1,2)),Schwierigkeitsstufen!$G$7:$G$19,0)),"Gerät falsch",LOOKUP(VALUE(MID(J227,1,2)),Schwierigkeitsstufen!$G$7:$G$19,Schwierigkeitsstufen!$H$7:$H$19)))</f>
        <v/>
      </c>
      <c r="AE227" s="211"/>
      <c r="AG227" s="221" t="str">
        <f t="shared" si="27"/>
        <v/>
      </c>
      <c r="AH227" s="222" t="str">
        <f t="shared" si="29"/>
        <v/>
      </c>
      <c r="AI227" s="220">
        <f t="shared" si="34"/>
        <v>4</v>
      </c>
      <c r="AJ227" s="222">
        <f t="shared" si="30"/>
        <v>0</v>
      </c>
      <c r="AK227" s="299" t="str">
        <f>IF(ISERROR(LOOKUP(E227,WKNrListe,Übersicht!$R$7:$R$46)),"-",LOOKUP(E227,WKNrListe,Übersicht!$R$7:$R$46))</f>
        <v>-</v>
      </c>
      <c r="AL227" s="299" t="str">
        <f t="shared" si="33"/>
        <v>-</v>
      </c>
      <c r="AM227" s="303"/>
      <c r="AN227" s="174" t="str">
        <f t="shared" si="26"/>
        <v>Leer</v>
      </c>
    </row>
    <row r="228" spans="1:40" s="174" customFormat="1" ht="15" customHeight="1">
      <c r="A228" s="63"/>
      <c r="B228" s="63"/>
      <c r="C228" s="84"/>
      <c r="D228" s="85"/>
      <c r="E228" s="62"/>
      <c r="F228" s="62"/>
      <c r="G228" s="62"/>
      <c r="H228" s="62"/>
      <c r="I228" s="62"/>
      <c r="J228" s="62"/>
      <c r="K228" s="62"/>
      <c r="L228" s="62"/>
      <c r="M228" s="62"/>
      <c r="N228" s="62"/>
      <c r="O228" s="62"/>
      <c r="P228" s="62"/>
      <c r="Q228" s="62"/>
      <c r="R228" s="62"/>
      <c r="S228" s="258"/>
      <c r="T228" s="248" t="str">
        <f t="shared" si="31"/>
        <v/>
      </c>
      <c r="U228" s="249" t="str">
        <f t="shared" si="32"/>
        <v/>
      </c>
      <c r="V228" s="294" t="str">
        <f t="shared" si="28"/>
        <v/>
      </c>
      <c r="W228" s="294" t="str">
        <f>IF(((E228="")+(F228="")),"",IF(VLOOKUP(F228,Mannschaften!$A$1:$B$54,2,FALSE)&lt;&gt;E228,"Reiter Mannschaften füllen",""))</f>
        <v/>
      </c>
      <c r="X228" s="248" t="str">
        <f>IF(ISBLANK(C228),"",IF((U228&gt;(LOOKUP(E228,WKNrListe,Übersicht!$O$7:$O$46)))+(U228&lt;(LOOKUP(E228,WKNrListe,Übersicht!$P$7:$P$46))),"JG falsch",""))</f>
        <v/>
      </c>
      <c r="Y228" s="255" t="str">
        <f>IF((A228="")*(B228=""),"",IF(ISERROR(MATCH(E228,WKNrListe,0)),"WK falsch",LOOKUP(E228,WKNrListe,Übersicht!$B$7:$B$46)))</f>
        <v/>
      </c>
      <c r="Z228" s="269" t="str">
        <f>IF(((AJ228=0)*(AH228&lt;&gt;"")*(AK228="-"))+((AJ228&lt;&gt;0)*(AH228&lt;&gt;"")*(AK228="-")),IF(AG228="X",Übersicht!$C$70,Übersicht!$C$69),"-")</f>
        <v>-</v>
      </c>
      <c r="AA228" s="252" t="str">
        <f>IF((($A228="")*($B228=""))+((MID($Y228,1,4)&lt;&gt;"Wahl")*(Deckblatt!$C$14='WK-Vorlagen'!$C$82))+(Deckblatt!$C$14&lt;&gt;'WK-Vorlagen'!$C$82),"",IF(ISERROR(MATCH(VALUE(MID(G228,1,2)),Schwierigkeitsstufen!$G$7:$G$19,0)),"Gerät falsch",LOOKUP(VALUE(MID(G228,1,2)),Schwierigkeitsstufen!$G$7:$G$19,Schwierigkeitsstufen!$H$7:$H$19)))</f>
        <v/>
      </c>
      <c r="AB228" s="250" t="str">
        <f>IF((($A228="")*($B228=""))+((MID($Y228,1,4)&lt;&gt;"Wahl")*(Deckblatt!$C$14='WK-Vorlagen'!$C$82))+(Deckblatt!$C$14&lt;&gt;'WK-Vorlagen'!$C$82),"",IF(ISERROR(MATCH(VALUE(MID(H228,1,2)),Schwierigkeitsstufen!$G$7:$G$19,0)),"Gerät falsch",LOOKUP(VALUE(MID(H228,1,2)),Schwierigkeitsstufen!$G$7:$G$19,Schwierigkeitsstufen!$H$7:$H$19)))</f>
        <v/>
      </c>
      <c r="AC228" s="250" t="str">
        <f>IF((($A228="")*($B228=""))+((MID($Y228,1,4)&lt;&gt;"Wahl")*(Deckblatt!$C$14='WK-Vorlagen'!$C$82))+(Deckblatt!$C$14&lt;&gt;'WK-Vorlagen'!$C$82),"",IF(ISERROR(MATCH(VALUE(MID(I228,1,2)),Schwierigkeitsstufen!$G$7:$G$19,0)),"Gerät falsch",LOOKUP(VALUE(MID(I228,1,2)),Schwierigkeitsstufen!$G$7:$G$19,Schwierigkeitsstufen!$H$7:$H$19)))</f>
        <v/>
      </c>
      <c r="AD228" s="251" t="str">
        <f>IF((($A228="")*($B228=""))+((MID($Y228,1,4)&lt;&gt;"Wahl")*(Deckblatt!$C$14='WK-Vorlagen'!$C$82))+(Deckblatt!$C$14&lt;&gt;'WK-Vorlagen'!$C$82),"",IF(ISERROR(MATCH(VALUE(MID(J228,1,2)),Schwierigkeitsstufen!$G$7:$G$19,0)),"Gerät falsch",LOOKUP(VALUE(MID(J228,1,2)),Schwierigkeitsstufen!$G$7:$G$19,Schwierigkeitsstufen!$H$7:$H$19)))</f>
        <v/>
      </c>
      <c r="AE228" s="211"/>
      <c r="AG228" s="221" t="str">
        <f t="shared" si="27"/>
        <v/>
      </c>
      <c r="AH228" s="222" t="str">
        <f t="shared" si="29"/>
        <v/>
      </c>
      <c r="AI228" s="220">
        <f t="shared" si="34"/>
        <v>4</v>
      </c>
      <c r="AJ228" s="222">
        <f t="shared" si="30"/>
        <v>0</v>
      </c>
      <c r="AK228" s="299" t="str">
        <f>IF(ISERROR(LOOKUP(E228,WKNrListe,Übersicht!$R$7:$R$46)),"-",LOOKUP(E228,WKNrListe,Übersicht!$R$7:$R$46))</f>
        <v>-</v>
      </c>
      <c r="AL228" s="299" t="str">
        <f t="shared" si="33"/>
        <v>-</v>
      </c>
      <c r="AM228" s="303"/>
      <c r="AN228" s="174" t="str">
        <f t="shared" si="26"/>
        <v>Leer</v>
      </c>
    </row>
    <row r="229" spans="1:40" s="174" customFormat="1" ht="15" customHeight="1">
      <c r="A229" s="63"/>
      <c r="B229" s="63"/>
      <c r="C229" s="84"/>
      <c r="D229" s="85"/>
      <c r="E229" s="62"/>
      <c r="F229" s="62"/>
      <c r="G229" s="62"/>
      <c r="H229" s="62"/>
      <c r="I229" s="62"/>
      <c r="J229" s="62"/>
      <c r="K229" s="62"/>
      <c r="L229" s="62"/>
      <c r="M229" s="62"/>
      <c r="N229" s="62"/>
      <c r="O229" s="62"/>
      <c r="P229" s="62"/>
      <c r="Q229" s="62"/>
      <c r="R229" s="62"/>
      <c r="S229" s="258"/>
      <c r="T229" s="248" t="str">
        <f t="shared" si="31"/>
        <v/>
      </c>
      <c r="U229" s="249" t="str">
        <f t="shared" si="32"/>
        <v/>
      </c>
      <c r="V229" s="294" t="str">
        <f t="shared" si="28"/>
        <v/>
      </c>
      <c r="W229" s="294" t="str">
        <f>IF(((E229="")+(F229="")),"",IF(VLOOKUP(F229,Mannschaften!$A$1:$B$54,2,FALSE)&lt;&gt;E229,"Reiter Mannschaften füllen",""))</f>
        <v/>
      </c>
      <c r="X229" s="248" t="str">
        <f>IF(ISBLANK(C229),"",IF((U229&gt;(LOOKUP(E229,WKNrListe,Übersicht!$O$7:$O$46)))+(U229&lt;(LOOKUP(E229,WKNrListe,Übersicht!$P$7:$P$46))),"JG falsch",""))</f>
        <v/>
      </c>
      <c r="Y229" s="255" t="str">
        <f>IF((A229="")*(B229=""),"",IF(ISERROR(MATCH(E229,WKNrListe,0)),"WK falsch",LOOKUP(E229,WKNrListe,Übersicht!$B$7:$B$46)))</f>
        <v/>
      </c>
      <c r="Z229" s="269" t="str">
        <f>IF(((AJ229=0)*(AH229&lt;&gt;"")*(AK229="-"))+((AJ229&lt;&gt;0)*(AH229&lt;&gt;"")*(AK229="-")),IF(AG229="X",Übersicht!$C$70,Übersicht!$C$69),"-")</f>
        <v>-</v>
      </c>
      <c r="AA229" s="252" t="str">
        <f>IF((($A229="")*($B229=""))+((MID($Y229,1,4)&lt;&gt;"Wahl")*(Deckblatt!$C$14='WK-Vorlagen'!$C$82))+(Deckblatt!$C$14&lt;&gt;'WK-Vorlagen'!$C$82),"",IF(ISERROR(MATCH(VALUE(MID(G229,1,2)),Schwierigkeitsstufen!$G$7:$G$19,0)),"Gerät falsch",LOOKUP(VALUE(MID(G229,1,2)),Schwierigkeitsstufen!$G$7:$G$19,Schwierigkeitsstufen!$H$7:$H$19)))</f>
        <v/>
      </c>
      <c r="AB229" s="250" t="str">
        <f>IF((($A229="")*($B229=""))+((MID($Y229,1,4)&lt;&gt;"Wahl")*(Deckblatt!$C$14='WK-Vorlagen'!$C$82))+(Deckblatt!$C$14&lt;&gt;'WK-Vorlagen'!$C$82),"",IF(ISERROR(MATCH(VALUE(MID(H229,1,2)),Schwierigkeitsstufen!$G$7:$G$19,0)),"Gerät falsch",LOOKUP(VALUE(MID(H229,1,2)),Schwierigkeitsstufen!$G$7:$G$19,Schwierigkeitsstufen!$H$7:$H$19)))</f>
        <v/>
      </c>
      <c r="AC229" s="250" t="str">
        <f>IF((($A229="")*($B229=""))+((MID($Y229,1,4)&lt;&gt;"Wahl")*(Deckblatt!$C$14='WK-Vorlagen'!$C$82))+(Deckblatt!$C$14&lt;&gt;'WK-Vorlagen'!$C$82),"",IF(ISERROR(MATCH(VALUE(MID(I229,1,2)),Schwierigkeitsstufen!$G$7:$G$19,0)),"Gerät falsch",LOOKUP(VALUE(MID(I229,1,2)),Schwierigkeitsstufen!$G$7:$G$19,Schwierigkeitsstufen!$H$7:$H$19)))</f>
        <v/>
      </c>
      <c r="AD229" s="251" t="str">
        <f>IF((($A229="")*($B229=""))+((MID($Y229,1,4)&lt;&gt;"Wahl")*(Deckblatt!$C$14='WK-Vorlagen'!$C$82))+(Deckblatt!$C$14&lt;&gt;'WK-Vorlagen'!$C$82),"",IF(ISERROR(MATCH(VALUE(MID(J229,1,2)),Schwierigkeitsstufen!$G$7:$G$19,0)),"Gerät falsch",LOOKUP(VALUE(MID(J229,1,2)),Schwierigkeitsstufen!$G$7:$G$19,Schwierigkeitsstufen!$H$7:$H$19)))</f>
        <v/>
      </c>
      <c r="AE229" s="211"/>
      <c r="AG229" s="221" t="str">
        <f t="shared" si="27"/>
        <v/>
      </c>
      <c r="AH229" s="222" t="str">
        <f t="shared" si="29"/>
        <v/>
      </c>
      <c r="AI229" s="220">
        <f t="shared" si="34"/>
        <v>4</v>
      </c>
      <c r="AJ229" s="222">
        <f t="shared" si="30"/>
        <v>0</v>
      </c>
      <c r="AK229" s="299" t="str">
        <f>IF(ISERROR(LOOKUP(E229,WKNrListe,Übersicht!$R$7:$R$46)),"-",LOOKUP(E229,WKNrListe,Übersicht!$R$7:$R$46))</f>
        <v>-</v>
      </c>
      <c r="AL229" s="299" t="str">
        <f t="shared" si="33"/>
        <v>-</v>
      </c>
      <c r="AM229" s="303"/>
      <c r="AN229" s="174" t="str">
        <f t="shared" si="26"/>
        <v>Leer</v>
      </c>
    </row>
    <row r="230" spans="1:40" s="174" customFormat="1" ht="15" customHeight="1">
      <c r="A230" s="63"/>
      <c r="B230" s="63"/>
      <c r="C230" s="84"/>
      <c r="D230" s="85"/>
      <c r="E230" s="62"/>
      <c r="F230" s="62"/>
      <c r="G230" s="62"/>
      <c r="H230" s="62"/>
      <c r="I230" s="62"/>
      <c r="J230" s="62"/>
      <c r="K230" s="62"/>
      <c r="L230" s="62"/>
      <c r="M230" s="62"/>
      <c r="N230" s="62"/>
      <c r="O230" s="62"/>
      <c r="P230" s="62"/>
      <c r="Q230" s="62"/>
      <c r="R230" s="62"/>
      <c r="S230" s="258"/>
      <c r="T230" s="248" t="str">
        <f t="shared" si="31"/>
        <v/>
      </c>
      <c r="U230" s="249" t="str">
        <f t="shared" si="32"/>
        <v/>
      </c>
      <c r="V230" s="294" t="str">
        <f t="shared" si="28"/>
        <v/>
      </c>
      <c r="W230" s="294" t="str">
        <f>IF(((E230="")+(F230="")),"",IF(VLOOKUP(F230,Mannschaften!$A$1:$B$54,2,FALSE)&lt;&gt;E230,"Reiter Mannschaften füllen",""))</f>
        <v/>
      </c>
      <c r="X230" s="248" t="str">
        <f>IF(ISBLANK(C230),"",IF((U230&gt;(LOOKUP(E230,WKNrListe,Übersicht!$O$7:$O$46)))+(U230&lt;(LOOKUP(E230,WKNrListe,Übersicht!$P$7:$P$46))),"JG falsch",""))</f>
        <v/>
      </c>
      <c r="Y230" s="255" t="str">
        <f>IF((A230="")*(B230=""),"",IF(ISERROR(MATCH(E230,WKNrListe,0)),"WK falsch",LOOKUP(E230,WKNrListe,Übersicht!$B$7:$B$46)))</f>
        <v/>
      </c>
      <c r="Z230" s="269" t="str">
        <f>IF(((AJ230=0)*(AH230&lt;&gt;"")*(AK230="-"))+((AJ230&lt;&gt;0)*(AH230&lt;&gt;"")*(AK230="-")),IF(AG230="X",Übersicht!$C$70,Übersicht!$C$69),"-")</f>
        <v>-</v>
      </c>
      <c r="AA230" s="252" t="str">
        <f>IF((($A230="")*($B230=""))+((MID($Y230,1,4)&lt;&gt;"Wahl")*(Deckblatt!$C$14='WK-Vorlagen'!$C$82))+(Deckblatt!$C$14&lt;&gt;'WK-Vorlagen'!$C$82),"",IF(ISERROR(MATCH(VALUE(MID(G230,1,2)),Schwierigkeitsstufen!$G$7:$G$19,0)),"Gerät falsch",LOOKUP(VALUE(MID(G230,1,2)),Schwierigkeitsstufen!$G$7:$G$19,Schwierigkeitsstufen!$H$7:$H$19)))</f>
        <v/>
      </c>
      <c r="AB230" s="250" t="str">
        <f>IF((($A230="")*($B230=""))+((MID($Y230,1,4)&lt;&gt;"Wahl")*(Deckblatt!$C$14='WK-Vorlagen'!$C$82))+(Deckblatt!$C$14&lt;&gt;'WK-Vorlagen'!$C$82),"",IF(ISERROR(MATCH(VALUE(MID(H230,1,2)),Schwierigkeitsstufen!$G$7:$G$19,0)),"Gerät falsch",LOOKUP(VALUE(MID(H230,1,2)),Schwierigkeitsstufen!$G$7:$G$19,Schwierigkeitsstufen!$H$7:$H$19)))</f>
        <v/>
      </c>
      <c r="AC230" s="250" t="str">
        <f>IF((($A230="")*($B230=""))+((MID($Y230,1,4)&lt;&gt;"Wahl")*(Deckblatt!$C$14='WK-Vorlagen'!$C$82))+(Deckblatt!$C$14&lt;&gt;'WK-Vorlagen'!$C$82),"",IF(ISERROR(MATCH(VALUE(MID(I230,1,2)),Schwierigkeitsstufen!$G$7:$G$19,0)),"Gerät falsch",LOOKUP(VALUE(MID(I230,1,2)),Schwierigkeitsstufen!$G$7:$G$19,Schwierigkeitsstufen!$H$7:$H$19)))</f>
        <v/>
      </c>
      <c r="AD230" s="251" t="str">
        <f>IF((($A230="")*($B230=""))+((MID($Y230,1,4)&lt;&gt;"Wahl")*(Deckblatt!$C$14='WK-Vorlagen'!$C$82))+(Deckblatt!$C$14&lt;&gt;'WK-Vorlagen'!$C$82),"",IF(ISERROR(MATCH(VALUE(MID(J230,1,2)),Schwierigkeitsstufen!$G$7:$G$19,0)),"Gerät falsch",LOOKUP(VALUE(MID(J230,1,2)),Schwierigkeitsstufen!$G$7:$G$19,Schwierigkeitsstufen!$H$7:$H$19)))</f>
        <v/>
      </c>
      <c r="AE230" s="211"/>
      <c r="AG230" s="221" t="str">
        <f t="shared" si="27"/>
        <v/>
      </c>
      <c r="AH230" s="222" t="str">
        <f t="shared" si="29"/>
        <v/>
      </c>
      <c r="AI230" s="220">
        <f t="shared" si="34"/>
        <v>4</v>
      </c>
      <c r="AJ230" s="222">
        <f t="shared" si="30"/>
        <v>0</v>
      </c>
      <c r="AK230" s="299" t="str">
        <f>IF(ISERROR(LOOKUP(E230,WKNrListe,Übersicht!$R$7:$R$46)),"-",LOOKUP(E230,WKNrListe,Übersicht!$R$7:$R$46))</f>
        <v>-</v>
      </c>
      <c r="AL230" s="299" t="str">
        <f t="shared" si="33"/>
        <v>-</v>
      </c>
      <c r="AM230" s="303"/>
      <c r="AN230" s="174" t="str">
        <f t="shared" si="26"/>
        <v>Leer</v>
      </c>
    </row>
    <row r="231" spans="1:40" s="174" customFormat="1" ht="15" customHeight="1">
      <c r="A231" s="63"/>
      <c r="B231" s="63"/>
      <c r="C231" s="84"/>
      <c r="D231" s="85"/>
      <c r="E231" s="62"/>
      <c r="F231" s="62"/>
      <c r="G231" s="62"/>
      <c r="H231" s="62"/>
      <c r="I231" s="62"/>
      <c r="J231" s="62"/>
      <c r="K231" s="62"/>
      <c r="L231" s="62"/>
      <c r="M231" s="62"/>
      <c r="N231" s="62"/>
      <c r="O231" s="62"/>
      <c r="P231" s="62"/>
      <c r="Q231" s="62"/>
      <c r="R231" s="62"/>
      <c r="S231" s="258"/>
      <c r="T231" s="248" t="str">
        <f t="shared" si="31"/>
        <v/>
      </c>
      <c r="U231" s="249" t="str">
        <f t="shared" si="32"/>
        <v/>
      </c>
      <c r="V231" s="294" t="str">
        <f t="shared" si="28"/>
        <v/>
      </c>
      <c r="W231" s="294" t="str">
        <f>IF(((E231="")+(F231="")),"",IF(VLOOKUP(F231,Mannschaften!$A$1:$B$54,2,FALSE)&lt;&gt;E231,"Reiter Mannschaften füllen",""))</f>
        <v/>
      </c>
      <c r="X231" s="248" t="str">
        <f>IF(ISBLANK(C231),"",IF((U231&gt;(LOOKUP(E231,WKNrListe,Übersicht!$O$7:$O$46)))+(U231&lt;(LOOKUP(E231,WKNrListe,Übersicht!$P$7:$P$46))),"JG falsch",""))</f>
        <v/>
      </c>
      <c r="Y231" s="255" t="str">
        <f>IF((A231="")*(B231=""),"",IF(ISERROR(MATCH(E231,WKNrListe,0)),"WK falsch",LOOKUP(E231,WKNrListe,Übersicht!$B$7:$B$46)))</f>
        <v/>
      </c>
      <c r="Z231" s="269" t="str">
        <f>IF(((AJ231=0)*(AH231&lt;&gt;"")*(AK231="-"))+((AJ231&lt;&gt;0)*(AH231&lt;&gt;"")*(AK231="-")),IF(AG231="X",Übersicht!$C$70,Übersicht!$C$69),"-")</f>
        <v>-</v>
      </c>
      <c r="AA231" s="252" t="str">
        <f>IF((($A231="")*($B231=""))+((MID($Y231,1,4)&lt;&gt;"Wahl")*(Deckblatt!$C$14='WK-Vorlagen'!$C$82))+(Deckblatt!$C$14&lt;&gt;'WK-Vorlagen'!$C$82),"",IF(ISERROR(MATCH(VALUE(MID(G231,1,2)),Schwierigkeitsstufen!$G$7:$G$19,0)),"Gerät falsch",LOOKUP(VALUE(MID(G231,1,2)),Schwierigkeitsstufen!$G$7:$G$19,Schwierigkeitsstufen!$H$7:$H$19)))</f>
        <v/>
      </c>
      <c r="AB231" s="250" t="str">
        <f>IF((($A231="")*($B231=""))+((MID($Y231,1,4)&lt;&gt;"Wahl")*(Deckblatt!$C$14='WK-Vorlagen'!$C$82))+(Deckblatt!$C$14&lt;&gt;'WK-Vorlagen'!$C$82),"",IF(ISERROR(MATCH(VALUE(MID(H231,1,2)),Schwierigkeitsstufen!$G$7:$G$19,0)),"Gerät falsch",LOOKUP(VALUE(MID(H231,1,2)),Schwierigkeitsstufen!$G$7:$G$19,Schwierigkeitsstufen!$H$7:$H$19)))</f>
        <v/>
      </c>
      <c r="AC231" s="250" t="str">
        <f>IF((($A231="")*($B231=""))+((MID($Y231,1,4)&lt;&gt;"Wahl")*(Deckblatt!$C$14='WK-Vorlagen'!$C$82))+(Deckblatt!$C$14&lt;&gt;'WK-Vorlagen'!$C$82),"",IF(ISERROR(MATCH(VALUE(MID(I231,1,2)),Schwierigkeitsstufen!$G$7:$G$19,0)),"Gerät falsch",LOOKUP(VALUE(MID(I231,1,2)),Schwierigkeitsstufen!$G$7:$G$19,Schwierigkeitsstufen!$H$7:$H$19)))</f>
        <v/>
      </c>
      <c r="AD231" s="251" t="str">
        <f>IF((($A231="")*($B231=""))+((MID($Y231,1,4)&lt;&gt;"Wahl")*(Deckblatt!$C$14='WK-Vorlagen'!$C$82))+(Deckblatt!$C$14&lt;&gt;'WK-Vorlagen'!$C$82),"",IF(ISERROR(MATCH(VALUE(MID(J231,1,2)),Schwierigkeitsstufen!$G$7:$G$19,0)),"Gerät falsch",LOOKUP(VALUE(MID(J231,1,2)),Schwierigkeitsstufen!$G$7:$G$19,Schwierigkeitsstufen!$H$7:$H$19)))</f>
        <v/>
      </c>
      <c r="AE231" s="211"/>
      <c r="AG231" s="221" t="str">
        <f t="shared" si="27"/>
        <v/>
      </c>
      <c r="AH231" s="222" t="str">
        <f t="shared" si="29"/>
        <v/>
      </c>
      <c r="AI231" s="220">
        <f t="shared" si="34"/>
        <v>4</v>
      </c>
      <c r="AJ231" s="222">
        <f t="shared" si="30"/>
        <v>0</v>
      </c>
      <c r="AK231" s="299" t="str">
        <f>IF(ISERROR(LOOKUP(E231,WKNrListe,Übersicht!$R$7:$R$46)),"-",LOOKUP(E231,WKNrListe,Übersicht!$R$7:$R$46))</f>
        <v>-</v>
      </c>
      <c r="AL231" s="299" t="str">
        <f t="shared" si="33"/>
        <v>-</v>
      </c>
      <c r="AM231" s="303"/>
      <c r="AN231" s="174" t="str">
        <f t="shared" si="26"/>
        <v>Leer</v>
      </c>
    </row>
    <row r="232" spans="1:40" s="174" customFormat="1" ht="15" customHeight="1">
      <c r="A232" s="63"/>
      <c r="B232" s="63"/>
      <c r="C232" s="84"/>
      <c r="D232" s="85"/>
      <c r="E232" s="62"/>
      <c r="F232" s="62"/>
      <c r="G232" s="62"/>
      <c r="H232" s="62"/>
      <c r="I232" s="62"/>
      <c r="J232" s="62"/>
      <c r="K232" s="62"/>
      <c r="L232" s="62"/>
      <c r="M232" s="62"/>
      <c r="N232" s="62"/>
      <c r="O232" s="62"/>
      <c r="P232" s="62"/>
      <c r="Q232" s="62"/>
      <c r="R232" s="62"/>
      <c r="S232" s="258"/>
      <c r="T232" s="248" t="str">
        <f t="shared" si="31"/>
        <v/>
      </c>
      <c r="U232" s="249" t="str">
        <f t="shared" si="32"/>
        <v/>
      </c>
      <c r="V232" s="294" t="str">
        <f t="shared" si="28"/>
        <v/>
      </c>
      <c r="W232" s="294" t="str">
        <f>IF(((E232="")+(F232="")),"",IF(VLOOKUP(F232,Mannschaften!$A$1:$B$54,2,FALSE)&lt;&gt;E232,"Reiter Mannschaften füllen",""))</f>
        <v/>
      </c>
      <c r="X232" s="248" t="str">
        <f>IF(ISBLANK(C232),"",IF((U232&gt;(LOOKUP(E232,WKNrListe,Übersicht!$O$7:$O$46)))+(U232&lt;(LOOKUP(E232,WKNrListe,Übersicht!$P$7:$P$46))),"JG falsch",""))</f>
        <v/>
      </c>
      <c r="Y232" s="255" t="str">
        <f>IF((A232="")*(B232=""),"",IF(ISERROR(MATCH(E232,WKNrListe,0)),"WK falsch",LOOKUP(E232,WKNrListe,Übersicht!$B$7:$B$46)))</f>
        <v/>
      </c>
      <c r="Z232" s="269" t="str">
        <f>IF(((AJ232=0)*(AH232&lt;&gt;"")*(AK232="-"))+((AJ232&lt;&gt;0)*(AH232&lt;&gt;"")*(AK232="-")),IF(AG232="X",Übersicht!$C$70,Übersicht!$C$69),"-")</f>
        <v>-</v>
      </c>
      <c r="AA232" s="252" t="str">
        <f>IF((($A232="")*($B232=""))+((MID($Y232,1,4)&lt;&gt;"Wahl")*(Deckblatt!$C$14='WK-Vorlagen'!$C$82))+(Deckblatt!$C$14&lt;&gt;'WK-Vorlagen'!$C$82),"",IF(ISERROR(MATCH(VALUE(MID(G232,1,2)),Schwierigkeitsstufen!$G$7:$G$19,0)),"Gerät falsch",LOOKUP(VALUE(MID(G232,1,2)),Schwierigkeitsstufen!$G$7:$G$19,Schwierigkeitsstufen!$H$7:$H$19)))</f>
        <v/>
      </c>
      <c r="AB232" s="250" t="str">
        <f>IF((($A232="")*($B232=""))+((MID($Y232,1,4)&lt;&gt;"Wahl")*(Deckblatt!$C$14='WK-Vorlagen'!$C$82))+(Deckblatt!$C$14&lt;&gt;'WK-Vorlagen'!$C$82),"",IF(ISERROR(MATCH(VALUE(MID(H232,1,2)),Schwierigkeitsstufen!$G$7:$G$19,0)),"Gerät falsch",LOOKUP(VALUE(MID(H232,1,2)),Schwierigkeitsstufen!$G$7:$G$19,Schwierigkeitsstufen!$H$7:$H$19)))</f>
        <v/>
      </c>
      <c r="AC232" s="250" t="str">
        <f>IF((($A232="")*($B232=""))+((MID($Y232,1,4)&lt;&gt;"Wahl")*(Deckblatt!$C$14='WK-Vorlagen'!$C$82))+(Deckblatt!$C$14&lt;&gt;'WK-Vorlagen'!$C$82),"",IF(ISERROR(MATCH(VALUE(MID(I232,1,2)),Schwierigkeitsstufen!$G$7:$G$19,0)),"Gerät falsch",LOOKUP(VALUE(MID(I232,1,2)),Schwierigkeitsstufen!$G$7:$G$19,Schwierigkeitsstufen!$H$7:$H$19)))</f>
        <v/>
      </c>
      <c r="AD232" s="251" t="str">
        <f>IF((($A232="")*($B232=""))+((MID($Y232,1,4)&lt;&gt;"Wahl")*(Deckblatt!$C$14='WK-Vorlagen'!$C$82))+(Deckblatt!$C$14&lt;&gt;'WK-Vorlagen'!$C$82),"",IF(ISERROR(MATCH(VALUE(MID(J232,1,2)),Schwierigkeitsstufen!$G$7:$G$19,0)),"Gerät falsch",LOOKUP(VALUE(MID(J232,1,2)),Schwierigkeitsstufen!$G$7:$G$19,Schwierigkeitsstufen!$H$7:$H$19)))</f>
        <v/>
      </c>
      <c r="AE232" s="211"/>
      <c r="AG232" s="221" t="str">
        <f t="shared" si="27"/>
        <v/>
      </c>
      <c r="AH232" s="222" t="str">
        <f t="shared" si="29"/>
        <v/>
      </c>
      <c r="AI232" s="220">
        <f t="shared" si="34"/>
        <v>4</v>
      </c>
      <c r="AJ232" s="222">
        <f t="shared" si="30"/>
        <v>0</v>
      </c>
      <c r="AK232" s="299" t="str">
        <f>IF(ISERROR(LOOKUP(E232,WKNrListe,Übersicht!$R$7:$R$46)),"-",LOOKUP(E232,WKNrListe,Übersicht!$R$7:$R$46))</f>
        <v>-</v>
      </c>
      <c r="AL232" s="299" t="str">
        <f t="shared" si="33"/>
        <v>-</v>
      </c>
      <c r="AM232" s="303"/>
      <c r="AN232" s="174" t="str">
        <f t="shared" si="26"/>
        <v>Leer</v>
      </c>
    </row>
    <row r="233" spans="1:40" s="174" customFormat="1" ht="15" customHeight="1">
      <c r="A233" s="63"/>
      <c r="B233" s="63"/>
      <c r="C233" s="84"/>
      <c r="D233" s="85"/>
      <c r="E233" s="62"/>
      <c r="F233" s="62"/>
      <c r="G233" s="62"/>
      <c r="H233" s="62"/>
      <c r="I233" s="62"/>
      <c r="J233" s="62"/>
      <c r="K233" s="62"/>
      <c r="L233" s="62"/>
      <c r="M233" s="62"/>
      <c r="N233" s="62"/>
      <c r="O233" s="62"/>
      <c r="P233" s="62"/>
      <c r="Q233" s="62"/>
      <c r="R233" s="62"/>
      <c r="S233" s="258"/>
      <c r="T233" s="248" t="str">
        <f t="shared" si="31"/>
        <v/>
      </c>
      <c r="U233" s="249" t="str">
        <f t="shared" si="32"/>
        <v/>
      </c>
      <c r="V233" s="294" t="str">
        <f t="shared" si="28"/>
        <v/>
      </c>
      <c r="W233" s="294" t="str">
        <f>IF(((E233="")+(F233="")),"",IF(VLOOKUP(F233,Mannschaften!$A$1:$B$54,2,FALSE)&lt;&gt;E233,"Reiter Mannschaften füllen",""))</f>
        <v/>
      </c>
      <c r="X233" s="248" t="str">
        <f>IF(ISBLANK(C233),"",IF((U233&gt;(LOOKUP(E233,WKNrListe,Übersicht!$O$7:$O$46)))+(U233&lt;(LOOKUP(E233,WKNrListe,Übersicht!$P$7:$P$46))),"JG falsch",""))</f>
        <v/>
      </c>
      <c r="Y233" s="255" t="str">
        <f>IF((A233="")*(B233=""),"",IF(ISERROR(MATCH(E233,WKNrListe,0)),"WK falsch",LOOKUP(E233,WKNrListe,Übersicht!$B$7:$B$46)))</f>
        <v/>
      </c>
      <c r="Z233" s="269" t="str">
        <f>IF(((AJ233=0)*(AH233&lt;&gt;"")*(AK233="-"))+((AJ233&lt;&gt;0)*(AH233&lt;&gt;"")*(AK233="-")),IF(AG233="X",Übersicht!$C$70,Übersicht!$C$69),"-")</f>
        <v>-</v>
      </c>
      <c r="AA233" s="252" t="str">
        <f>IF((($A233="")*($B233=""))+((MID($Y233,1,4)&lt;&gt;"Wahl")*(Deckblatt!$C$14='WK-Vorlagen'!$C$82))+(Deckblatt!$C$14&lt;&gt;'WK-Vorlagen'!$C$82),"",IF(ISERROR(MATCH(VALUE(MID(G233,1,2)),Schwierigkeitsstufen!$G$7:$G$19,0)),"Gerät falsch",LOOKUP(VALUE(MID(G233,1,2)),Schwierigkeitsstufen!$G$7:$G$19,Schwierigkeitsstufen!$H$7:$H$19)))</f>
        <v/>
      </c>
      <c r="AB233" s="250" t="str">
        <f>IF((($A233="")*($B233=""))+((MID($Y233,1,4)&lt;&gt;"Wahl")*(Deckblatt!$C$14='WK-Vorlagen'!$C$82))+(Deckblatt!$C$14&lt;&gt;'WK-Vorlagen'!$C$82),"",IF(ISERROR(MATCH(VALUE(MID(H233,1,2)),Schwierigkeitsstufen!$G$7:$G$19,0)),"Gerät falsch",LOOKUP(VALUE(MID(H233,1,2)),Schwierigkeitsstufen!$G$7:$G$19,Schwierigkeitsstufen!$H$7:$H$19)))</f>
        <v/>
      </c>
      <c r="AC233" s="250" t="str">
        <f>IF((($A233="")*($B233=""))+((MID($Y233,1,4)&lt;&gt;"Wahl")*(Deckblatt!$C$14='WK-Vorlagen'!$C$82))+(Deckblatt!$C$14&lt;&gt;'WK-Vorlagen'!$C$82),"",IF(ISERROR(MATCH(VALUE(MID(I233,1,2)),Schwierigkeitsstufen!$G$7:$G$19,0)),"Gerät falsch",LOOKUP(VALUE(MID(I233,1,2)),Schwierigkeitsstufen!$G$7:$G$19,Schwierigkeitsstufen!$H$7:$H$19)))</f>
        <v/>
      </c>
      <c r="AD233" s="251" t="str">
        <f>IF((($A233="")*($B233=""))+((MID($Y233,1,4)&lt;&gt;"Wahl")*(Deckblatt!$C$14='WK-Vorlagen'!$C$82))+(Deckblatt!$C$14&lt;&gt;'WK-Vorlagen'!$C$82),"",IF(ISERROR(MATCH(VALUE(MID(J233,1,2)),Schwierigkeitsstufen!$G$7:$G$19,0)),"Gerät falsch",LOOKUP(VALUE(MID(J233,1,2)),Schwierigkeitsstufen!$G$7:$G$19,Schwierigkeitsstufen!$H$7:$H$19)))</f>
        <v/>
      </c>
      <c r="AE233" s="211"/>
      <c r="AG233" s="221" t="str">
        <f t="shared" si="27"/>
        <v/>
      </c>
      <c r="AH233" s="222" t="str">
        <f t="shared" si="29"/>
        <v/>
      </c>
      <c r="AI233" s="220">
        <f t="shared" si="34"/>
        <v>4</v>
      </c>
      <c r="AJ233" s="222">
        <f t="shared" si="30"/>
        <v>0</v>
      </c>
      <c r="AK233" s="299" t="str">
        <f>IF(ISERROR(LOOKUP(E233,WKNrListe,Übersicht!$R$7:$R$46)),"-",LOOKUP(E233,WKNrListe,Übersicht!$R$7:$R$46))</f>
        <v>-</v>
      </c>
      <c r="AL233" s="299" t="str">
        <f t="shared" si="33"/>
        <v>-</v>
      </c>
      <c r="AM233" s="303"/>
      <c r="AN233" s="174" t="str">
        <f t="shared" si="26"/>
        <v>Leer</v>
      </c>
    </row>
    <row r="234" spans="1:40" s="174" customFormat="1" ht="15" customHeight="1">
      <c r="A234" s="63"/>
      <c r="B234" s="63"/>
      <c r="C234" s="84"/>
      <c r="D234" s="85"/>
      <c r="E234" s="62"/>
      <c r="F234" s="62"/>
      <c r="G234" s="62"/>
      <c r="H234" s="62"/>
      <c r="I234" s="62"/>
      <c r="J234" s="62"/>
      <c r="K234" s="62"/>
      <c r="L234" s="62"/>
      <c r="M234" s="62"/>
      <c r="N234" s="62"/>
      <c r="O234" s="62"/>
      <c r="P234" s="62"/>
      <c r="Q234" s="62"/>
      <c r="R234" s="62"/>
      <c r="S234" s="258"/>
      <c r="T234" s="248" t="str">
        <f t="shared" si="31"/>
        <v/>
      </c>
      <c r="U234" s="249" t="str">
        <f t="shared" si="32"/>
        <v/>
      </c>
      <c r="V234" s="294" t="str">
        <f t="shared" si="28"/>
        <v/>
      </c>
      <c r="W234" s="294" t="str">
        <f>IF(((E234="")+(F234="")),"",IF(VLOOKUP(F234,Mannschaften!$A$1:$B$54,2,FALSE)&lt;&gt;E234,"Reiter Mannschaften füllen",""))</f>
        <v/>
      </c>
      <c r="X234" s="248" t="str">
        <f>IF(ISBLANK(C234),"",IF((U234&gt;(LOOKUP(E234,WKNrListe,Übersicht!$O$7:$O$46)))+(U234&lt;(LOOKUP(E234,WKNrListe,Übersicht!$P$7:$P$46))),"JG falsch",""))</f>
        <v/>
      </c>
      <c r="Y234" s="255" t="str">
        <f>IF((A234="")*(B234=""),"",IF(ISERROR(MATCH(E234,WKNrListe,0)),"WK falsch",LOOKUP(E234,WKNrListe,Übersicht!$B$7:$B$46)))</f>
        <v/>
      </c>
      <c r="Z234" s="269" t="str">
        <f>IF(((AJ234=0)*(AH234&lt;&gt;"")*(AK234="-"))+((AJ234&lt;&gt;0)*(AH234&lt;&gt;"")*(AK234="-")),IF(AG234="X",Übersicht!$C$70,Übersicht!$C$69),"-")</f>
        <v>-</v>
      </c>
      <c r="AA234" s="252" t="str">
        <f>IF((($A234="")*($B234=""))+((MID($Y234,1,4)&lt;&gt;"Wahl")*(Deckblatt!$C$14='WK-Vorlagen'!$C$82))+(Deckblatt!$C$14&lt;&gt;'WK-Vorlagen'!$C$82),"",IF(ISERROR(MATCH(VALUE(MID(G234,1,2)),Schwierigkeitsstufen!$G$7:$G$19,0)),"Gerät falsch",LOOKUP(VALUE(MID(G234,1,2)),Schwierigkeitsstufen!$G$7:$G$19,Schwierigkeitsstufen!$H$7:$H$19)))</f>
        <v/>
      </c>
      <c r="AB234" s="250" t="str">
        <f>IF((($A234="")*($B234=""))+((MID($Y234,1,4)&lt;&gt;"Wahl")*(Deckblatt!$C$14='WK-Vorlagen'!$C$82))+(Deckblatt!$C$14&lt;&gt;'WK-Vorlagen'!$C$82),"",IF(ISERROR(MATCH(VALUE(MID(H234,1,2)),Schwierigkeitsstufen!$G$7:$G$19,0)),"Gerät falsch",LOOKUP(VALUE(MID(H234,1,2)),Schwierigkeitsstufen!$G$7:$G$19,Schwierigkeitsstufen!$H$7:$H$19)))</f>
        <v/>
      </c>
      <c r="AC234" s="250" t="str">
        <f>IF((($A234="")*($B234=""))+((MID($Y234,1,4)&lt;&gt;"Wahl")*(Deckblatt!$C$14='WK-Vorlagen'!$C$82))+(Deckblatt!$C$14&lt;&gt;'WK-Vorlagen'!$C$82),"",IF(ISERROR(MATCH(VALUE(MID(I234,1,2)),Schwierigkeitsstufen!$G$7:$G$19,0)),"Gerät falsch",LOOKUP(VALUE(MID(I234,1,2)),Schwierigkeitsstufen!$G$7:$G$19,Schwierigkeitsstufen!$H$7:$H$19)))</f>
        <v/>
      </c>
      <c r="AD234" s="251" t="str">
        <f>IF((($A234="")*($B234=""))+((MID($Y234,1,4)&lt;&gt;"Wahl")*(Deckblatt!$C$14='WK-Vorlagen'!$C$82))+(Deckblatt!$C$14&lt;&gt;'WK-Vorlagen'!$C$82),"",IF(ISERROR(MATCH(VALUE(MID(J234,1,2)),Schwierigkeitsstufen!$G$7:$G$19,0)),"Gerät falsch",LOOKUP(VALUE(MID(J234,1,2)),Schwierigkeitsstufen!$G$7:$G$19,Schwierigkeitsstufen!$H$7:$H$19)))</f>
        <v/>
      </c>
      <c r="AE234" s="211"/>
      <c r="AG234" s="221" t="str">
        <f t="shared" si="27"/>
        <v/>
      </c>
      <c r="AH234" s="222" t="str">
        <f t="shared" si="29"/>
        <v/>
      </c>
      <c r="AI234" s="220">
        <f t="shared" si="34"/>
        <v>4</v>
      </c>
      <c r="AJ234" s="222">
        <f t="shared" si="30"/>
        <v>0</v>
      </c>
      <c r="AK234" s="299" t="str">
        <f>IF(ISERROR(LOOKUP(E234,WKNrListe,Übersicht!$R$7:$R$46)),"-",LOOKUP(E234,WKNrListe,Übersicht!$R$7:$R$46))</f>
        <v>-</v>
      </c>
      <c r="AL234" s="299" t="str">
        <f t="shared" si="33"/>
        <v>-</v>
      </c>
      <c r="AM234" s="303"/>
      <c r="AN234" s="174" t="str">
        <f t="shared" si="26"/>
        <v>Leer</v>
      </c>
    </row>
    <row r="235" spans="1:40" s="174" customFormat="1" ht="15" customHeight="1">
      <c r="A235" s="63"/>
      <c r="B235" s="63"/>
      <c r="C235" s="84"/>
      <c r="D235" s="85"/>
      <c r="E235" s="62"/>
      <c r="F235" s="62"/>
      <c r="G235" s="62"/>
      <c r="H235" s="62"/>
      <c r="I235" s="62"/>
      <c r="J235" s="62"/>
      <c r="K235" s="62"/>
      <c r="L235" s="62"/>
      <c r="M235" s="62"/>
      <c r="N235" s="62"/>
      <c r="O235" s="62"/>
      <c r="P235" s="62"/>
      <c r="Q235" s="62"/>
      <c r="R235" s="62"/>
      <c r="S235" s="258"/>
      <c r="T235" s="248" t="str">
        <f t="shared" si="31"/>
        <v/>
      </c>
      <c r="U235" s="249" t="str">
        <f t="shared" si="32"/>
        <v/>
      </c>
      <c r="V235" s="294" t="str">
        <f t="shared" si="28"/>
        <v/>
      </c>
      <c r="W235" s="294" t="str">
        <f>IF(((E235="")+(F235="")),"",IF(VLOOKUP(F235,Mannschaften!$A$1:$B$54,2,FALSE)&lt;&gt;E235,"Reiter Mannschaften füllen",""))</f>
        <v/>
      </c>
      <c r="X235" s="248" t="str">
        <f>IF(ISBLANK(C235),"",IF((U235&gt;(LOOKUP(E235,WKNrListe,Übersicht!$O$7:$O$46)))+(U235&lt;(LOOKUP(E235,WKNrListe,Übersicht!$P$7:$P$46))),"JG falsch",""))</f>
        <v/>
      </c>
      <c r="Y235" s="255" t="str">
        <f>IF((A235="")*(B235=""),"",IF(ISERROR(MATCH(E235,WKNrListe,0)),"WK falsch",LOOKUP(E235,WKNrListe,Übersicht!$B$7:$B$46)))</f>
        <v/>
      </c>
      <c r="Z235" s="269" t="str">
        <f>IF(((AJ235=0)*(AH235&lt;&gt;"")*(AK235="-"))+((AJ235&lt;&gt;0)*(AH235&lt;&gt;"")*(AK235="-")),IF(AG235="X",Übersicht!$C$70,Übersicht!$C$69),"-")</f>
        <v>-</v>
      </c>
      <c r="AA235" s="252" t="str">
        <f>IF((($A235="")*($B235=""))+((MID($Y235,1,4)&lt;&gt;"Wahl")*(Deckblatt!$C$14='WK-Vorlagen'!$C$82))+(Deckblatt!$C$14&lt;&gt;'WK-Vorlagen'!$C$82),"",IF(ISERROR(MATCH(VALUE(MID(G235,1,2)),Schwierigkeitsstufen!$G$7:$G$19,0)),"Gerät falsch",LOOKUP(VALUE(MID(G235,1,2)),Schwierigkeitsstufen!$G$7:$G$19,Schwierigkeitsstufen!$H$7:$H$19)))</f>
        <v/>
      </c>
      <c r="AB235" s="250" t="str">
        <f>IF((($A235="")*($B235=""))+((MID($Y235,1,4)&lt;&gt;"Wahl")*(Deckblatt!$C$14='WK-Vorlagen'!$C$82))+(Deckblatt!$C$14&lt;&gt;'WK-Vorlagen'!$C$82),"",IF(ISERROR(MATCH(VALUE(MID(H235,1,2)),Schwierigkeitsstufen!$G$7:$G$19,0)),"Gerät falsch",LOOKUP(VALUE(MID(H235,1,2)),Schwierigkeitsstufen!$G$7:$G$19,Schwierigkeitsstufen!$H$7:$H$19)))</f>
        <v/>
      </c>
      <c r="AC235" s="250" t="str">
        <f>IF((($A235="")*($B235=""))+((MID($Y235,1,4)&lt;&gt;"Wahl")*(Deckblatt!$C$14='WK-Vorlagen'!$C$82))+(Deckblatt!$C$14&lt;&gt;'WK-Vorlagen'!$C$82),"",IF(ISERROR(MATCH(VALUE(MID(I235,1,2)),Schwierigkeitsstufen!$G$7:$G$19,0)),"Gerät falsch",LOOKUP(VALUE(MID(I235,1,2)),Schwierigkeitsstufen!$G$7:$G$19,Schwierigkeitsstufen!$H$7:$H$19)))</f>
        <v/>
      </c>
      <c r="AD235" s="251" t="str">
        <f>IF((($A235="")*($B235=""))+((MID($Y235,1,4)&lt;&gt;"Wahl")*(Deckblatt!$C$14='WK-Vorlagen'!$C$82))+(Deckblatt!$C$14&lt;&gt;'WK-Vorlagen'!$C$82),"",IF(ISERROR(MATCH(VALUE(MID(J235,1,2)),Schwierigkeitsstufen!$G$7:$G$19,0)),"Gerät falsch",LOOKUP(VALUE(MID(J235,1,2)),Schwierigkeitsstufen!$G$7:$G$19,Schwierigkeitsstufen!$H$7:$H$19)))</f>
        <v/>
      </c>
      <c r="AE235" s="211"/>
      <c r="AG235" s="221" t="str">
        <f t="shared" si="27"/>
        <v/>
      </c>
      <c r="AH235" s="222" t="str">
        <f t="shared" si="29"/>
        <v/>
      </c>
      <c r="AI235" s="220">
        <f t="shared" si="34"/>
        <v>4</v>
      </c>
      <c r="AJ235" s="222">
        <f t="shared" si="30"/>
        <v>0</v>
      </c>
      <c r="AK235" s="299" t="str">
        <f>IF(ISERROR(LOOKUP(E235,WKNrListe,Übersicht!$R$7:$R$46)),"-",LOOKUP(E235,WKNrListe,Übersicht!$R$7:$R$46))</f>
        <v>-</v>
      </c>
      <c r="AL235" s="299" t="str">
        <f t="shared" si="33"/>
        <v>-</v>
      </c>
      <c r="AM235" s="303"/>
      <c r="AN235" s="174" t="str">
        <f t="shared" si="26"/>
        <v>Leer</v>
      </c>
    </row>
    <row r="236" spans="1:40" s="174" customFormat="1" ht="15" customHeight="1">
      <c r="A236" s="63"/>
      <c r="B236" s="63"/>
      <c r="C236" s="84"/>
      <c r="D236" s="85"/>
      <c r="E236" s="62"/>
      <c r="F236" s="62"/>
      <c r="G236" s="62"/>
      <c r="H236" s="62"/>
      <c r="I236" s="62"/>
      <c r="J236" s="62"/>
      <c r="K236" s="62"/>
      <c r="L236" s="62"/>
      <c r="M236" s="62"/>
      <c r="N236" s="62"/>
      <c r="O236" s="62"/>
      <c r="P236" s="62"/>
      <c r="Q236" s="62"/>
      <c r="R236" s="62"/>
      <c r="S236" s="258"/>
      <c r="T236" s="248" t="str">
        <f t="shared" si="31"/>
        <v/>
      </c>
      <c r="U236" s="249" t="str">
        <f t="shared" si="32"/>
        <v/>
      </c>
      <c r="V236" s="294" t="str">
        <f t="shared" si="28"/>
        <v/>
      </c>
      <c r="W236" s="294" t="str">
        <f>IF(((E236="")+(F236="")),"",IF(VLOOKUP(F236,Mannschaften!$A$1:$B$54,2,FALSE)&lt;&gt;E236,"Reiter Mannschaften füllen",""))</f>
        <v/>
      </c>
      <c r="X236" s="248" t="str">
        <f>IF(ISBLANK(C236),"",IF((U236&gt;(LOOKUP(E236,WKNrListe,Übersicht!$O$7:$O$46)))+(U236&lt;(LOOKUP(E236,WKNrListe,Übersicht!$P$7:$P$46))),"JG falsch",""))</f>
        <v/>
      </c>
      <c r="Y236" s="255" t="str">
        <f>IF((A236="")*(B236=""),"",IF(ISERROR(MATCH(E236,WKNrListe,0)),"WK falsch",LOOKUP(E236,WKNrListe,Übersicht!$B$7:$B$46)))</f>
        <v/>
      </c>
      <c r="Z236" s="269" t="str">
        <f>IF(((AJ236=0)*(AH236&lt;&gt;"")*(AK236="-"))+((AJ236&lt;&gt;0)*(AH236&lt;&gt;"")*(AK236="-")),IF(AG236="X",Übersicht!$C$70,Übersicht!$C$69),"-")</f>
        <v>-</v>
      </c>
      <c r="AA236" s="252" t="str">
        <f>IF((($A236="")*($B236=""))+((MID($Y236,1,4)&lt;&gt;"Wahl")*(Deckblatt!$C$14='WK-Vorlagen'!$C$82))+(Deckblatt!$C$14&lt;&gt;'WK-Vorlagen'!$C$82),"",IF(ISERROR(MATCH(VALUE(MID(G236,1,2)),Schwierigkeitsstufen!$G$7:$G$19,0)),"Gerät falsch",LOOKUP(VALUE(MID(G236,1,2)),Schwierigkeitsstufen!$G$7:$G$19,Schwierigkeitsstufen!$H$7:$H$19)))</f>
        <v/>
      </c>
      <c r="AB236" s="250" t="str">
        <f>IF((($A236="")*($B236=""))+((MID($Y236,1,4)&lt;&gt;"Wahl")*(Deckblatt!$C$14='WK-Vorlagen'!$C$82))+(Deckblatt!$C$14&lt;&gt;'WK-Vorlagen'!$C$82),"",IF(ISERROR(MATCH(VALUE(MID(H236,1,2)),Schwierigkeitsstufen!$G$7:$G$19,0)),"Gerät falsch",LOOKUP(VALUE(MID(H236,1,2)),Schwierigkeitsstufen!$G$7:$G$19,Schwierigkeitsstufen!$H$7:$H$19)))</f>
        <v/>
      </c>
      <c r="AC236" s="250" t="str">
        <f>IF((($A236="")*($B236=""))+((MID($Y236,1,4)&lt;&gt;"Wahl")*(Deckblatt!$C$14='WK-Vorlagen'!$C$82))+(Deckblatt!$C$14&lt;&gt;'WK-Vorlagen'!$C$82),"",IF(ISERROR(MATCH(VALUE(MID(I236,1,2)),Schwierigkeitsstufen!$G$7:$G$19,0)),"Gerät falsch",LOOKUP(VALUE(MID(I236,1,2)),Schwierigkeitsstufen!$G$7:$G$19,Schwierigkeitsstufen!$H$7:$H$19)))</f>
        <v/>
      </c>
      <c r="AD236" s="251" t="str">
        <f>IF((($A236="")*($B236=""))+((MID($Y236,1,4)&lt;&gt;"Wahl")*(Deckblatt!$C$14='WK-Vorlagen'!$C$82))+(Deckblatt!$C$14&lt;&gt;'WK-Vorlagen'!$C$82),"",IF(ISERROR(MATCH(VALUE(MID(J236,1,2)),Schwierigkeitsstufen!$G$7:$G$19,0)),"Gerät falsch",LOOKUP(VALUE(MID(J236,1,2)),Schwierigkeitsstufen!$G$7:$G$19,Schwierigkeitsstufen!$H$7:$H$19)))</f>
        <v/>
      </c>
      <c r="AE236" s="211"/>
      <c r="AG236" s="221" t="str">
        <f t="shared" si="27"/>
        <v/>
      </c>
      <c r="AH236" s="222" t="str">
        <f t="shared" si="29"/>
        <v/>
      </c>
      <c r="AI236" s="220">
        <f t="shared" si="34"/>
        <v>4</v>
      </c>
      <c r="AJ236" s="222">
        <f t="shared" si="30"/>
        <v>0</v>
      </c>
      <c r="AK236" s="299" t="str">
        <f>IF(ISERROR(LOOKUP(E236,WKNrListe,Übersicht!$R$7:$R$46)),"-",LOOKUP(E236,WKNrListe,Übersicht!$R$7:$R$46))</f>
        <v>-</v>
      </c>
      <c r="AL236" s="299" t="str">
        <f t="shared" si="33"/>
        <v>-</v>
      </c>
      <c r="AM236" s="303"/>
      <c r="AN236" s="174" t="str">
        <f t="shared" si="26"/>
        <v>Leer</v>
      </c>
    </row>
    <row r="237" spans="1:40" s="174" customFormat="1" ht="15" customHeight="1">
      <c r="A237" s="63"/>
      <c r="B237" s="63"/>
      <c r="C237" s="84"/>
      <c r="D237" s="85"/>
      <c r="E237" s="62"/>
      <c r="F237" s="62"/>
      <c r="G237" s="62"/>
      <c r="H237" s="62"/>
      <c r="I237" s="62"/>
      <c r="J237" s="62"/>
      <c r="K237" s="62"/>
      <c r="L237" s="62"/>
      <c r="M237" s="62"/>
      <c r="N237" s="62"/>
      <c r="O237" s="62"/>
      <c r="P237" s="62"/>
      <c r="Q237" s="62"/>
      <c r="R237" s="62"/>
      <c r="S237" s="258"/>
      <c r="T237" s="248" t="str">
        <f t="shared" si="31"/>
        <v/>
      </c>
      <c r="U237" s="249" t="str">
        <f t="shared" si="32"/>
        <v/>
      </c>
      <c r="V237" s="294" t="str">
        <f t="shared" si="28"/>
        <v/>
      </c>
      <c r="W237" s="294" t="str">
        <f>IF(((E237="")+(F237="")),"",IF(VLOOKUP(F237,Mannschaften!$A$1:$B$54,2,FALSE)&lt;&gt;E237,"Reiter Mannschaften füllen",""))</f>
        <v/>
      </c>
      <c r="X237" s="248" t="str">
        <f>IF(ISBLANK(C237),"",IF((U237&gt;(LOOKUP(E237,WKNrListe,Übersicht!$O$7:$O$46)))+(U237&lt;(LOOKUP(E237,WKNrListe,Übersicht!$P$7:$P$46))),"JG falsch",""))</f>
        <v/>
      </c>
      <c r="Y237" s="255" t="str">
        <f>IF((A237="")*(B237=""),"",IF(ISERROR(MATCH(E237,WKNrListe,0)),"WK falsch",LOOKUP(E237,WKNrListe,Übersicht!$B$7:$B$46)))</f>
        <v/>
      </c>
      <c r="Z237" s="269" t="str">
        <f>IF(((AJ237=0)*(AH237&lt;&gt;"")*(AK237="-"))+((AJ237&lt;&gt;0)*(AH237&lt;&gt;"")*(AK237="-")),IF(AG237="X",Übersicht!$C$70,Übersicht!$C$69),"-")</f>
        <v>-</v>
      </c>
      <c r="AA237" s="252" t="str">
        <f>IF((($A237="")*($B237=""))+((MID($Y237,1,4)&lt;&gt;"Wahl")*(Deckblatt!$C$14='WK-Vorlagen'!$C$82))+(Deckblatt!$C$14&lt;&gt;'WK-Vorlagen'!$C$82),"",IF(ISERROR(MATCH(VALUE(MID(G237,1,2)),Schwierigkeitsstufen!$G$7:$G$19,0)),"Gerät falsch",LOOKUP(VALUE(MID(G237,1,2)),Schwierigkeitsstufen!$G$7:$G$19,Schwierigkeitsstufen!$H$7:$H$19)))</f>
        <v/>
      </c>
      <c r="AB237" s="250" t="str">
        <f>IF((($A237="")*($B237=""))+((MID($Y237,1,4)&lt;&gt;"Wahl")*(Deckblatt!$C$14='WK-Vorlagen'!$C$82))+(Deckblatt!$C$14&lt;&gt;'WK-Vorlagen'!$C$82),"",IF(ISERROR(MATCH(VALUE(MID(H237,1,2)),Schwierigkeitsstufen!$G$7:$G$19,0)),"Gerät falsch",LOOKUP(VALUE(MID(H237,1,2)),Schwierigkeitsstufen!$G$7:$G$19,Schwierigkeitsstufen!$H$7:$H$19)))</f>
        <v/>
      </c>
      <c r="AC237" s="250" t="str">
        <f>IF((($A237="")*($B237=""))+((MID($Y237,1,4)&lt;&gt;"Wahl")*(Deckblatt!$C$14='WK-Vorlagen'!$C$82))+(Deckblatt!$C$14&lt;&gt;'WK-Vorlagen'!$C$82),"",IF(ISERROR(MATCH(VALUE(MID(I237,1,2)),Schwierigkeitsstufen!$G$7:$G$19,0)),"Gerät falsch",LOOKUP(VALUE(MID(I237,1,2)),Schwierigkeitsstufen!$G$7:$G$19,Schwierigkeitsstufen!$H$7:$H$19)))</f>
        <v/>
      </c>
      <c r="AD237" s="251" t="str">
        <f>IF((($A237="")*($B237=""))+((MID($Y237,1,4)&lt;&gt;"Wahl")*(Deckblatt!$C$14='WK-Vorlagen'!$C$82))+(Deckblatt!$C$14&lt;&gt;'WK-Vorlagen'!$C$82),"",IF(ISERROR(MATCH(VALUE(MID(J237,1,2)),Schwierigkeitsstufen!$G$7:$G$19,0)),"Gerät falsch",LOOKUP(VALUE(MID(J237,1,2)),Schwierigkeitsstufen!$G$7:$G$19,Schwierigkeitsstufen!$H$7:$H$19)))</f>
        <v/>
      </c>
      <c r="AE237" s="211"/>
      <c r="AG237" s="221" t="str">
        <f t="shared" si="27"/>
        <v/>
      </c>
      <c r="AH237" s="222" t="str">
        <f t="shared" si="29"/>
        <v/>
      </c>
      <c r="AI237" s="220">
        <f t="shared" si="34"/>
        <v>4</v>
      </c>
      <c r="AJ237" s="222">
        <f t="shared" si="30"/>
        <v>0</v>
      </c>
      <c r="AK237" s="299" t="str">
        <f>IF(ISERROR(LOOKUP(E237,WKNrListe,Übersicht!$R$7:$R$46)),"-",LOOKUP(E237,WKNrListe,Übersicht!$R$7:$R$46))</f>
        <v>-</v>
      </c>
      <c r="AL237" s="299" t="str">
        <f t="shared" si="33"/>
        <v>-</v>
      </c>
      <c r="AM237" s="303"/>
      <c r="AN237" s="174" t="str">
        <f t="shared" si="26"/>
        <v>Leer</v>
      </c>
    </row>
    <row r="238" spans="1:40" s="174" customFormat="1" ht="15" customHeight="1">
      <c r="A238" s="63"/>
      <c r="B238" s="63"/>
      <c r="C238" s="84"/>
      <c r="D238" s="85"/>
      <c r="E238" s="62"/>
      <c r="F238" s="62"/>
      <c r="G238" s="62"/>
      <c r="H238" s="62"/>
      <c r="I238" s="62"/>
      <c r="J238" s="62"/>
      <c r="K238" s="62"/>
      <c r="L238" s="62"/>
      <c r="M238" s="62"/>
      <c r="N238" s="62"/>
      <c r="O238" s="62"/>
      <c r="P238" s="62"/>
      <c r="Q238" s="62"/>
      <c r="R238" s="62"/>
      <c r="S238" s="258"/>
      <c r="T238" s="248" t="str">
        <f t="shared" si="31"/>
        <v/>
      </c>
      <c r="U238" s="249" t="str">
        <f t="shared" si="32"/>
        <v/>
      </c>
      <c r="V238" s="294" t="str">
        <f t="shared" si="28"/>
        <v/>
      </c>
      <c r="W238" s="294" t="str">
        <f>IF(((E238="")+(F238="")),"",IF(VLOOKUP(F238,Mannschaften!$A$1:$B$54,2,FALSE)&lt;&gt;E238,"Reiter Mannschaften füllen",""))</f>
        <v/>
      </c>
      <c r="X238" s="248" t="str">
        <f>IF(ISBLANK(C238),"",IF((U238&gt;(LOOKUP(E238,WKNrListe,Übersicht!$O$7:$O$46)))+(U238&lt;(LOOKUP(E238,WKNrListe,Übersicht!$P$7:$P$46))),"JG falsch",""))</f>
        <v/>
      </c>
      <c r="Y238" s="255" t="str">
        <f>IF((A238="")*(B238=""),"",IF(ISERROR(MATCH(E238,WKNrListe,0)),"WK falsch",LOOKUP(E238,WKNrListe,Übersicht!$B$7:$B$46)))</f>
        <v/>
      </c>
      <c r="Z238" s="269" t="str">
        <f>IF(((AJ238=0)*(AH238&lt;&gt;"")*(AK238="-"))+((AJ238&lt;&gt;0)*(AH238&lt;&gt;"")*(AK238="-")),IF(AG238="X",Übersicht!$C$70,Übersicht!$C$69),"-")</f>
        <v>-</v>
      </c>
      <c r="AA238" s="252" t="str">
        <f>IF((($A238="")*($B238=""))+((MID($Y238,1,4)&lt;&gt;"Wahl")*(Deckblatt!$C$14='WK-Vorlagen'!$C$82))+(Deckblatt!$C$14&lt;&gt;'WK-Vorlagen'!$C$82),"",IF(ISERROR(MATCH(VALUE(MID(G238,1,2)),Schwierigkeitsstufen!$G$7:$G$19,0)),"Gerät falsch",LOOKUP(VALUE(MID(G238,1,2)),Schwierigkeitsstufen!$G$7:$G$19,Schwierigkeitsstufen!$H$7:$H$19)))</f>
        <v/>
      </c>
      <c r="AB238" s="250" t="str">
        <f>IF((($A238="")*($B238=""))+((MID($Y238,1,4)&lt;&gt;"Wahl")*(Deckblatt!$C$14='WK-Vorlagen'!$C$82))+(Deckblatt!$C$14&lt;&gt;'WK-Vorlagen'!$C$82),"",IF(ISERROR(MATCH(VALUE(MID(H238,1,2)),Schwierigkeitsstufen!$G$7:$G$19,0)),"Gerät falsch",LOOKUP(VALUE(MID(H238,1,2)),Schwierigkeitsstufen!$G$7:$G$19,Schwierigkeitsstufen!$H$7:$H$19)))</f>
        <v/>
      </c>
      <c r="AC238" s="250" t="str">
        <f>IF((($A238="")*($B238=""))+((MID($Y238,1,4)&lt;&gt;"Wahl")*(Deckblatt!$C$14='WK-Vorlagen'!$C$82))+(Deckblatt!$C$14&lt;&gt;'WK-Vorlagen'!$C$82),"",IF(ISERROR(MATCH(VALUE(MID(I238,1,2)),Schwierigkeitsstufen!$G$7:$G$19,0)),"Gerät falsch",LOOKUP(VALUE(MID(I238,1,2)),Schwierigkeitsstufen!$G$7:$G$19,Schwierigkeitsstufen!$H$7:$H$19)))</f>
        <v/>
      </c>
      <c r="AD238" s="251" t="str">
        <f>IF((($A238="")*($B238=""))+((MID($Y238,1,4)&lt;&gt;"Wahl")*(Deckblatt!$C$14='WK-Vorlagen'!$C$82))+(Deckblatt!$C$14&lt;&gt;'WK-Vorlagen'!$C$82),"",IF(ISERROR(MATCH(VALUE(MID(J238,1,2)),Schwierigkeitsstufen!$G$7:$G$19,0)),"Gerät falsch",LOOKUP(VALUE(MID(J238,1,2)),Schwierigkeitsstufen!$G$7:$G$19,Schwierigkeitsstufen!$H$7:$H$19)))</f>
        <v/>
      </c>
      <c r="AE238" s="211"/>
      <c r="AG238" s="221" t="str">
        <f t="shared" si="27"/>
        <v/>
      </c>
      <c r="AH238" s="222" t="str">
        <f t="shared" si="29"/>
        <v/>
      </c>
      <c r="AI238" s="220">
        <f t="shared" si="34"/>
        <v>4</v>
      </c>
      <c r="AJ238" s="222">
        <f t="shared" si="30"/>
        <v>0</v>
      </c>
      <c r="AK238" s="299" t="str">
        <f>IF(ISERROR(LOOKUP(E238,WKNrListe,Übersicht!$R$7:$R$46)),"-",LOOKUP(E238,WKNrListe,Übersicht!$R$7:$R$46))</f>
        <v>-</v>
      </c>
      <c r="AL238" s="299" t="str">
        <f t="shared" si="33"/>
        <v>-</v>
      </c>
      <c r="AM238" s="303"/>
      <c r="AN238" s="174" t="str">
        <f t="shared" si="26"/>
        <v>Leer</v>
      </c>
    </row>
    <row r="239" spans="1:40" s="174" customFormat="1" ht="15" customHeight="1">
      <c r="A239" s="63"/>
      <c r="B239" s="63"/>
      <c r="C239" s="84"/>
      <c r="D239" s="85"/>
      <c r="E239" s="62"/>
      <c r="F239" s="62"/>
      <c r="G239" s="62"/>
      <c r="H239" s="62"/>
      <c r="I239" s="62"/>
      <c r="J239" s="62"/>
      <c r="K239" s="62"/>
      <c r="L239" s="62"/>
      <c r="M239" s="62"/>
      <c r="N239" s="62"/>
      <c r="O239" s="62"/>
      <c r="P239" s="62"/>
      <c r="Q239" s="62"/>
      <c r="R239" s="62"/>
      <c r="S239" s="258"/>
      <c r="T239" s="248" t="str">
        <f t="shared" si="31"/>
        <v/>
      </c>
      <c r="U239" s="249" t="str">
        <f t="shared" si="32"/>
        <v/>
      </c>
      <c r="V239" s="294" t="str">
        <f t="shared" si="28"/>
        <v/>
      </c>
      <c r="W239" s="294" t="str">
        <f>IF(((E239="")+(F239="")),"",IF(VLOOKUP(F239,Mannschaften!$A$1:$B$54,2,FALSE)&lt;&gt;E239,"Reiter Mannschaften füllen",""))</f>
        <v/>
      </c>
      <c r="X239" s="248" t="str">
        <f>IF(ISBLANK(C239),"",IF((U239&gt;(LOOKUP(E239,WKNrListe,Übersicht!$O$7:$O$46)))+(U239&lt;(LOOKUP(E239,WKNrListe,Übersicht!$P$7:$P$46))),"JG falsch",""))</f>
        <v/>
      </c>
      <c r="Y239" s="255" t="str">
        <f>IF((A239="")*(B239=""),"",IF(ISERROR(MATCH(E239,WKNrListe,0)),"WK falsch",LOOKUP(E239,WKNrListe,Übersicht!$B$7:$B$46)))</f>
        <v/>
      </c>
      <c r="Z239" s="269" t="str">
        <f>IF(((AJ239=0)*(AH239&lt;&gt;"")*(AK239="-"))+((AJ239&lt;&gt;0)*(AH239&lt;&gt;"")*(AK239="-")),IF(AG239="X",Übersicht!$C$70,Übersicht!$C$69),"-")</f>
        <v>-</v>
      </c>
      <c r="AA239" s="252" t="str">
        <f>IF((($A239="")*($B239=""))+((MID($Y239,1,4)&lt;&gt;"Wahl")*(Deckblatt!$C$14='WK-Vorlagen'!$C$82))+(Deckblatt!$C$14&lt;&gt;'WK-Vorlagen'!$C$82),"",IF(ISERROR(MATCH(VALUE(MID(G239,1,2)),Schwierigkeitsstufen!$G$7:$G$19,0)),"Gerät falsch",LOOKUP(VALUE(MID(G239,1,2)),Schwierigkeitsstufen!$G$7:$G$19,Schwierigkeitsstufen!$H$7:$H$19)))</f>
        <v/>
      </c>
      <c r="AB239" s="250" t="str">
        <f>IF((($A239="")*($B239=""))+((MID($Y239,1,4)&lt;&gt;"Wahl")*(Deckblatt!$C$14='WK-Vorlagen'!$C$82))+(Deckblatt!$C$14&lt;&gt;'WK-Vorlagen'!$C$82),"",IF(ISERROR(MATCH(VALUE(MID(H239,1,2)),Schwierigkeitsstufen!$G$7:$G$19,0)),"Gerät falsch",LOOKUP(VALUE(MID(H239,1,2)),Schwierigkeitsstufen!$G$7:$G$19,Schwierigkeitsstufen!$H$7:$H$19)))</f>
        <v/>
      </c>
      <c r="AC239" s="250" t="str">
        <f>IF((($A239="")*($B239=""))+((MID($Y239,1,4)&lt;&gt;"Wahl")*(Deckblatt!$C$14='WK-Vorlagen'!$C$82))+(Deckblatt!$C$14&lt;&gt;'WK-Vorlagen'!$C$82),"",IF(ISERROR(MATCH(VALUE(MID(I239,1,2)),Schwierigkeitsstufen!$G$7:$G$19,0)),"Gerät falsch",LOOKUP(VALUE(MID(I239,1,2)),Schwierigkeitsstufen!$G$7:$G$19,Schwierigkeitsstufen!$H$7:$H$19)))</f>
        <v/>
      </c>
      <c r="AD239" s="251" t="str">
        <f>IF((($A239="")*($B239=""))+((MID($Y239,1,4)&lt;&gt;"Wahl")*(Deckblatt!$C$14='WK-Vorlagen'!$C$82))+(Deckblatt!$C$14&lt;&gt;'WK-Vorlagen'!$C$82),"",IF(ISERROR(MATCH(VALUE(MID(J239,1,2)),Schwierigkeitsstufen!$G$7:$G$19,0)),"Gerät falsch",LOOKUP(VALUE(MID(J239,1,2)),Schwierigkeitsstufen!$G$7:$G$19,Schwierigkeitsstufen!$H$7:$H$19)))</f>
        <v/>
      </c>
      <c r="AE239" s="211"/>
      <c r="AG239" s="221" t="str">
        <f t="shared" si="27"/>
        <v/>
      </c>
      <c r="AH239" s="222" t="str">
        <f t="shared" si="29"/>
        <v/>
      </c>
      <c r="AI239" s="220">
        <f t="shared" si="34"/>
        <v>4</v>
      </c>
      <c r="AJ239" s="222">
        <f t="shared" si="30"/>
        <v>0</v>
      </c>
      <c r="AK239" s="299" t="str">
        <f>IF(ISERROR(LOOKUP(E239,WKNrListe,Übersicht!$R$7:$R$46)),"-",LOOKUP(E239,WKNrListe,Übersicht!$R$7:$R$46))</f>
        <v>-</v>
      </c>
      <c r="AL239" s="299" t="str">
        <f t="shared" si="33"/>
        <v>-</v>
      </c>
      <c r="AM239" s="303"/>
      <c r="AN239" s="174" t="str">
        <f t="shared" ref="AN239:AN302" si="35">IF(ISBLANK(A239)*ISBLANK(B239)*ISBLANK(C239)*ISBLANK(E239)*ISBLANK(F239)*ISBLANK(G239)*ISBLANK(H239)*ISBLANK(I239)*ISBLANK(J239),"Leer","Voll")</f>
        <v>Leer</v>
      </c>
    </row>
    <row r="240" spans="1:40" s="174" customFormat="1" ht="15" customHeight="1">
      <c r="A240" s="63"/>
      <c r="B240" s="63"/>
      <c r="C240" s="84"/>
      <c r="D240" s="85"/>
      <c r="E240" s="62"/>
      <c r="F240" s="62"/>
      <c r="G240" s="62"/>
      <c r="H240" s="62"/>
      <c r="I240" s="62"/>
      <c r="J240" s="62"/>
      <c r="K240" s="62"/>
      <c r="L240" s="62"/>
      <c r="M240" s="62"/>
      <c r="N240" s="62"/>
      <c r="O240" s="62"/>
      <c r="P240" s="62"/>
      <c r="Q240" s="62"/>
      <c r="R240" s="62"/>
      <c r="S240" s="258"/>
      <c r="T240" s="248" t="str">
        <f t="shared" si="31"/>
        <v/>
      </c>
      <c r="U240" s="249" t="str">
        <f t="shared" si="32"/>
        <v/>
      </c>
      <c r="V240" s="294" t="str">
        <f t="shared" si="28"/>
        <v/>
      </c>
      <c r="W240" s="294" t="str">
        <f>IF(((E240="")+(F240="")),"",IF(VLOOKUP(F240,Mannschaften!$A$1:$B$54,2,FALSE)&lt;&gt;E240,"Reiter Mannschaften füllen",""))</f>
        <v/>
      </c>
      <c r="X240" s="248" t="str">
        <f>IF(ISBLANK(C240),"",IF((U240&gt;(LOOKUP(E240,WKNrListe,Übersicht!$O$7:$O$46)))+(U240&lt;(LOOKUP(E240,WKNrListe,Übersicht!$P$7:$P$46))),"JG falsch",""))</f>
        <v/>
      </c>
      <c r="Y240" s="255" t="str">
        <f>IF((A240="")*(B240=""),"",IF(ISERROR(MATCH(E240,WKNrListe,0)),"WK falsch",LOOKUP(E240,WKNrListe,Übersicht!$B$7:$B$46)))</f>
        <v/>
      </c>
      <c r="Z240" s="269" t="str">
        <f>IF(((AJ240=0)*(AH240&lt;&gt;"")*(AK240="-"))+((AJ240&lt;&gt;0)*(AH240&lt;&gt;"")*(AK240="-")),IF(AG240="X",Übersicht!$C$70,Übersicht!$C$69),"-")</f>
        <v>-</v>
      </c>
      <c r="AA240" s="252" t="str">
        <f>IF((($A240="")*($B240=""))+((MID($Y240,1,4)&lt;&gt;"Wahl")*(Deckblatt!$C$14='WK-Vorlagen'!$C$82))+(Deckblatt!$C$14&lt;&gt;'WK-Vorlagen'!$C$82),"",IF(ISERROR(MATCH(VALUE(MID(G240,1,2)),Schwierigkeitsstufen!$G$7:$G$19,0)),"Gerät falsch",LOOKUP(VALUE(MID(G240,1,2)),Schwierigkeitsstufen!$G$7:$G$19,Schwierigkeitsstufen!$H$7:$H$19)))</f>
        <v/>
      </c>
      <c r="AB240" s="250" t="str">
        <f>IF((($A240="")*($B240=""))+((MID($Y240,1,4)&lt;&gt;"Wahl")*(Deckblatt!$C$14='WK-Vorlagen'!$C$82))+(Deckblatt!$C$14&lt;&gt;'WK-Vorlagen'!$C$82),"",IF(ISERROR(MATCH(VALUE(MID(H240,1,2)),Schwierigkeitsstufen!$G$7:$G$19,0)),"Gerät falsch",LOOKUP(VALUE(MID(H240,1,2)),Schwierigkeitsstufen!$G$7:$G$19,Schwierigkeitsstufen!$H$7:$H$19)))</f>
        <v/>
      </c>
      <c r="AC240" s="250" t="str">
        <f>IF((($A240="")*($B240=""))+((MID($Y240,1,4)&lt;&gt;"Wahl")*(Deckblatt!$C$14='WK-Vorlagen'!$C$82))+(Deckblatt!$C$14&lt;&gt;'WK-Vorlagen'!$C$82),"",IF(ISERROR(MATCH(VALUE(MID(I240,1,2)),Schwierigkeitsstufen!$G$7:$G$19,0)),"Gerät falsch",LOOKUP(VALUE(MID(I240,1,2)),Schwierigkeitsstufen!$G$7:$G$19,Schwierigkeitsstufen!$H$7:$H$19)))</f>
        <v/>
      </c>
      <c r="AD240" s="251" t="str">
        <f>IF((($A240="")*($B240=""))+((MID($Y240,1,4)&lt;&gt;"Wahl")*(Deckblatt!$C$14='WK-Vorlagen'!$C$82))+(Deckblatt!$C$14&lt;&gt;'WK-Vorlagen'!$C$82),"",IF(ISERROR(MATCH(VALUE(MID(J240,1,2)),Schwierigkeitsstufen!$G$7:$G$19,0)),"Gerät falsch",LOOKUP(VALUE(MID(J240,1,2)),Schwierigkeitsstufen!$G$7:$G$19,Schwierigkeitsstufen!$H$7:$H$19)))</f>
        <v/>
      </c>
      <c r="AE240" s="211"/>
      <c r="AG240" s="221" t="str">
        <f t="shared" si="27"/>
        <v/>
      </c>
      <c r="AH240" s="222" t="str">
        <f t="shared" si="29"/>
        <v/>
      </c>
      <c r="AI240" s="220">
        <f t="shared" si="34"/>
        <v>4</v>
      </c>
      <c r="AJ240" s="222">
        <f t="shared" si="30"/>
        <v>0</v>
      </c>
      <c r="AK240" s="299" t="str">
        <f>IF(ISERROR(LOOKUP(E240,WKNrListe,Übersicht!$R$7:$R$46)),"-",LOOKUP(E240,WKNrListe,Übersicht!$R$7:$R$46))</f>
        <v>-</v>
      </c>
      <c r="AL240" s="299" t="str">
        <f t="shared" si="33"/>
        <v>-</v>
      </c>
      <c r="AM240" s="303"/>
      <c r="AN240" s="174" t="str">
        <f t="shared" si="35"/>
        <v>Leer</v>
      </c>
    </row>
    <row r="241" spans="1:40" s="174" customFormat="1" ht="15" customHeight="1">
      <c r="A241" s="63"/>
      <c r="B241" s="63"/>
      <c r="C241" s="84"/>
      <c r="D241" s="85"/>
      <c r="E241" s="62"/>
      <c r="F241" s="62"/>
      <c r="G241" s="62"/>
      <c r="H241" s="62"/>
      <c r="I241" s="62"/>
      <c r="J241" s="62"/>
      <c r="K241" s="62"/>
      <c r="L241" s="62"/>
      <c r="M241" s="62"/>
      <c r="N241" s="62"/>
      <c r="O241" s="62"/>
      <c r="P241" s="62"/>
      <c r="Q241" s="62"/>
      <c r="R241" s="62"/>
      <c r="S241" s="258"/>
      <c r="T241" s="248" t="str">
        <f t="shared" si="31"/>
        <v/>
      </c>
      <c r="U241" s="249" t="str">
        <f t="shared" si="32"/>
        <v/>
      </c>
      <c r="V241" s="294" t="str">
        <f t="shared" si="28"/>
        <v/>
      </c>
      <c r="W241" s="294" t="str">
        <f>IF(((E241="")+(F241="")),"",IF(VLOOKUP(F241,Mannschaften!$A$1:$B$54,2,FALSE)&lt;&gt;E241,"Reiter Mannschaften füllen",""))</f>
        <v/>
      </c>
      <c r="X241" s="248" t="str">
        <f>IF(ISBLANK(C241),"",IF((U241&gt;(LOOKUP(E241,WKNrListe,Übersicht!$O$7:$O$46)))+(U241&lt;(LOOKUP(E241,WKNrListe,Übersicht!$P$7:$P$46))),"JG falsch",""))</f>
        <v/>
      </c>
      <c r="Y241" s="255" t="str">
        <f>IF((A241="")*(B241=""),"",IF(ISERROR(MATCH(E241,WKNrListe,0)),"WK falsch",LOOKUP(E241,WKNrListe,Übersicht!$B$7:$B$46)))</f>
        <v/>
      </c>
      <c r="Z241" s="269" t="str">
        <f>IF(((AJ241=0)*(AH241&lt;&gt;"")*(AK241="-"))+((AJ241&lt;&gt;0)*(AH241&lt;&gt;"")*(AK241="-")),IF(AG241="X",Übersicht!$C$70,Übersicht!$C$69),"-")</f>
        <v>-</v>
      </c>
      <c r="AA241" s="252" t="str">
        <f>IF((($A241="")*($B241=""))+((MID($Y241,1,4)&lt;&gt;"Wahl")*(Deckblatt!$C$14='WK-Vorlagen'!$C$82))+(Deckblatt!$C$14&lt;&gt;'WK-Vorlagen'!$C$82),"",IF(ISERROR(MATCH(VALUE(MID(G241,1,2)),Schwierigkeitsstufen!$G$7:$G$19,0)),"Gerät falsch",LOOKUP(VALUE(MID(G241,1,2)),Schwierigkeitsstufen!$G$7:$G$19,Schwierigkeitsstufen!$H$7:$H$19)))</f>
        <v/>
      </c>
      <c r="AB241" s="250" t="str">
        <f>IF((($A241="")*($B241=""))+((MID($Y241,1,4)&lt;&gt;"Wahl")*(Deckblatt!$C$14='WK-Vorlagen'!$C$82))+(Deckblatt!$C$14&lt;&gt;'WK-Vorlagen'!$C$82),"",IF(ISERROR(MATCH(VALUE(MID(H241,1,2)),Schwierigkeitsstufen!$G$7:$G$19,0)),"Gerät falsch",LOOKUP(VALUE(MID(H241,1,2)),Schwierigkeitsstufen!$G$7:$G$19,Schwierigkeitsstufen!$H$7:$H$19)))</f>
        <v/>
      </c>
      <c r="AC241" s="250" t="str">
        <f>IF((($A241="")*($B241=""))+((MID($Y241,1,4)&lt;&gt;"Wahl")*(Deckblatt!$C$14='WK-Vorlagen'!$C$82))+(Deckblatt!$C$14&lt;&gt;'WK-Vorlagen'!$C$82),"",IF(ISERROR(MATCH(VALUE(MID(I241,1,2)),Schwierigkeitsstufen!$G$7:$G$19,0)),"Gerät falsch",LOOKUP(VALUE(MID(I241,1,2)),Schwierigkeitsstufen!$G$7:$G$19,Schwierigkeitsstufen!$H$7:$H$19)))</f>
        <v/>
      </c>
      <c r="AD241" s="251" t="str">
        <f>IF((($A241="")*($B241=""))+((MID($Y241,1,4)&lt;&gt;"Wahl")*(Deckblatt!$C$14='WK-Vorlagen'!$C$82))+(Deckblatt!$C$14&lt;&gt;'WK-Vorlagen'!$C$82),"",IF(ISERROR(MATCH(VALUE(MID(J241,1,2)),Schwierigkeitsstufen!$G$7:$G$19,0)),"Gerät falsch",LOOKUP(VALUE(MID(J241,1,2)),Schwierigkeitsstufen!$G$7:$G$19,Schwierigkeitsstufen!$H$7:$H$19)))</f>
        <v/>
      </c>
      <c r="AE241" s="211"/>
      <c r="AG241" s="221" t="str">
        <f t="shared" si="27"/>
        <v/>
      </c>
      <c r="AH241" s="222" t="str">
        <f t="shared" si="29"/>
        <v/>
      </c>
      <c r="AI241" s="220">
        <f t="shared" si="34"/>
        <v>4</v>
      </c>
      <c r="AJ241" s="222">
        <f t="shared" si="30"/>
        <v>0</v>
      </c>
      <c r="AK241" s="299" t="str">
        <f>IF(ISERROR(LOOKUP(E241,WKNrListe,Übersicht!$R$7:$R$46)),"-",LOOKUP(E241,WKNrListe,Übersicht!$R$7:$R$46))</f>
        <v>-</v>
      </c>
      <c r="AL241" s="299" t="str">
        <f t="shared" si="33"/>
        <v>-</v>
      </c>
      <c r="AM241" s="303"/>
      <c r="AN241" s="174" t="str">
        <f t="shared" si="35"/>
        <v>Leer</v>
      </c>
    </row>
    <row r="242" spans="1:40" s="174" customFormat="1" ht="15" customHeight="1">
      <c r="A242" s="63"/>
      <c r="B242" s="63"/>
      <c r="C242" s="84"/>
      <c r="D242" s="85"/>
      <c r="E242" s="62"/>
      <c r="F242" s="62"/>
      <c r="G242" s="62"/>
      <c r="H242" s="62"/>
      <c r="I242" s="62"/>
      <c r="J242" s="62"/>
      <c r="K242" s="62"/>
      <c r="L242" s="62"/>
      <c r="M242" s="62"/>
      <c r="N242" s="62"/>
      <c r="O242" s="62"/>
      <c r="P242" s="62"/>
      <c r="Q242" s="62"/>
      <c r="R242" s="62"/>
      <c r="S242" s="258"/>
      <c r="T242" s="248" t="str">
        <f t="shared" si="31"/>
        <v/>
      </c>
      <c r="U242" s="249" t="str">
        <f t="shared" si="32"/>
        <v/>
      </c>
      <c r="V242" s="294" t="str">
        <f t="shared" si="28"/>
        <v/>
      </c>
      <c r="W242" s="294" t="str">
        <f>IF(((E242="")+(F242="")),"",IF(VLOOKUP(F242,Mannschaften!$A$1:$B$54,2,FALSE)&lt;&gt;E242,"Reiter Mannschaften füllen",""))</f>
        <v/>
      </c>
      <c r="X242" s="248" t="str">
        <f>IF(ISBLANK(C242),"",IF((U242&gt;(LOOKUP(E242,WKNrListe,Übersicht!$O$7:$O$46)))+(U242&lt;(LOOKUP(E242,WKNrListe,Übersicht!$P$7:$P$46))),"JG falsch",""))</f>
        <v/>
      </c>
      <c r="Y242" s="255" t="str">
        <f>IF((A242="")*(B242=""),"",IF(ISERROR(MATCH(E242,WKNrListe,0)),"WK falsch",LOOKUP(E242,WKNrListe,Übersicht!$B$7:$B$46)))</f>
        <v/>
      </c>
      <c r="Z242" s="269" t="str">
        <f>IF(((AJ242=0)*(AH242&lt;&gt;"")*(AK242="-"))+((AJ242&lt;&gt;0)*(AH242&lt;&gt;"")*(AK242="-")),IF(AG242="X",Übersicht!$C$70,Übersicht!$C$69),"-")</f>
        <v>-</v>
      </c>
      <c r="AA242" s="252" t="str">
        <f>IF((($A242="")*($B242=""))+((MID($Y242,1,4)&lt;&gt;"Wahl")*(Deckblatt!$C$14='WK-Vorlagen'!$C$82))+(Deckblatt!$C$14&lt;&gt;'WK-Vorlagen'!$C$82),"",IF(ISERROR(MATCH(VALUE(MID(G242,1,2)),Schwierigkeitsstufen!$G$7:$G$19,0)),"Gerät falsch",LOOKUP(VALUE(MID(G242,1,2)),Schwierigkeitsstufen!$G$7:$G$19,Schwierigkeitsstufen!$H$7:$H$19)))</f>
        <v/>
      </c>
      <c r="AB242" s="250" t="str">
        <f>IF((($A242="")*($B242=""))+((MID($Y242,1,4)&lt;&gt;"Wahl")*(Deckblatt!$C$14='WK-Vorlagen'!$C$82))+(Deckblatt!$C$14&lt;&gt;'WK-Vorlagen'!$C$82),"",IF(ISERROR(MATCH(VALUE(MID(H242,1,2)),Schwierigkeitsstufen!$G$7:$G$19,0)),"Gerät falsch",LOOKUP(VALUE(MID(H242,1,2)),Schwierigkeitsstufen!$G$7:$G$19,Schwierigkeitsstufen!$H$7:$H$19)))</f>
        <v/>
      </c>
      <c r="AC242" s="250" t="str">
        <f>IF((($A242="")*($B242=""))+((MID($Y242,1,4)&lt;&gt;"Wahl")*(Deckblatt!$C$14='WK-Vorlagen'!$C$82))+(Deckblatt!$C$14&lt;&gt;'WK-Vorlagen'!$C$82),"",IF(ISERROR(MATCH(VALUE(MID(I242,1,2)),Schwierigkeitsstufen!$G$7:$G$19,0)),"Gerät falsch",LOOKUP(VALUE(MID(I242,1,2)),Schwierigkeitsstufen!$G$7:$G$19,Schwierigkeitsstufen!$H$7:$H$19)))</f>
        <v/>
      </c>
      <c r="AD242" s="251" t="str">
        <f>IF((($A242="")*($B242=""))+((MID($Y242,1,4)&lt;&gt;"Wahl")*(Deckblatt!$C$14='WK-Vorlagen'!$C$82))+(Deckblatt!$C$14&lt;&gt;'WK-Vorlagen'!$C$82),"",IF(ISERROR(MATCH(VALUE(MID(J242,1,2)),Schwierigkeitsstufen!$G$7:$G$19,0)),"Gerät falsch",LOOKUP(VALUE(MID(J242,1,2)),Schwierigkeitsstufen!$G$7:$G$19,Schwierigkeitsstufen!$H$7:$H$19)))</f>
        <v/>
      </c>
      <c r="AE242" s="211"/>
      <c r="AG242" s="221" t="str">
        <f t="shared" si="27"/>
        <v/>
      </c>
      <c r="AH242" s="222" t="str">
        <f t="shared" si="29"/>
        <v/>
      </c>
      <c r="AI242" s="220">
        <f t="shared" si="34"/>
        <v>4</v>
      </c>
      <c r="AJ242" s="222">
        <f t="shared" si="30"/>
        <v>0</v>
      </c>
      <c r="AK242" s="299" t="str">
        <f>IF(ISERROR(LOOKUP(E242,WKNrListe,Übersicht!$R$7:$R$46)),"-",LOOKUP(E242,WKNrListe,Übersicht!$R$7:$R$46))</f>
        <v>-</v>
      </c>
      <c r="AL242" s="299" t="str">
        <f t="shared" si="33"/>
        <v>-</v>
      </c>
      <c r="AM242" s="303"/>
      <c r="AN242" s="174" t="str">
        <f t="shared" si="35"/>
        <v>Leer</v>
      </c>
    </row>
    <row r="243" spans="1:40" s="174" customFormat="1" ht="15" customHeight="1">
      <c r="A243" s="63"/>
      <c r="B243" s="63"/>
      <c r="C243" s="84"/>
      <c r="D243" s="85"/>
      <c r="E243" s="62"/>
      <c r="F243" s="62"/>
      <c r="G243" s="62"/>
      <c r="H243" s="62"/>
      <c r="I243" s="62"/>
      <c r="J243" s="62"/>
      <c r="K243" s="62"/>
      <c r="L243" s="62"/>
      <c r="M243" s="62"/>
      <c r="N243" s="62"/>
      <c r="O243" s="62"/>
      <c r="P243" s="62"/>
      <c r="Q243" s="62"/>
      <c r="R243" s="62"/>
      <c r="S243" s="258"/>
      <c r="T243" s="248" t="str">
        <f t="shared" si="31"/>
        <v/>
      </c>
      <c r="U243" s="249" t="str">
        <f t="shared" si="32"/>
        <v/>
      </c>
      <c r="V243" s="294" t="str">
        <f t="shared" si="28"/>
        <v/>
      </c>
      <c r="W243" s="294" t="str">
        <f>IF(((E243="")+(F243="")),"",IF(VLOOKUP(F243,Mannschaften!$A$1:$B$54,2,FALSE)&lt;&gt;E243,"Reiter Mannschaften füllen",""))</f>
        <v/>
      </c>
      <c r="X243" s="248" t="str">
        <f>IF(ISBLANK(C243),"",IF((U243&gt;(LOOKUP(E243,WKNrListe,Übersicht!$O$7:$O$46)))+(U243&lt;(LOOKUP(E243,WKNrListe,Übersicht!$P$7:$P$46))),"JG falsch",""))</f>
        <v/>
      </c>
      <c r="Y243" s="255" t="str">
        <f>IF((A243="")*(B243=""),"",IF(ISERROR(MATCH(E243,WKNrListe,0)),"WK falsch",LOOKUP(E243,WKNrListe,Übersicht!$B$7:$B$46)))</f>
        <v/>
      </c>
      <c r="Z243" s="269" t="str">
        <f>IF(((AJ243=0)*(AH243&lt;&gt;"")*(AK243="-"))+((AJ243&lt;&gt;0)*(AH243&lt;&gt;"")*(AK243="-")),IF(AG243="X",Übersicht!$C$70,Übersicht!$C$69),"-")</f>
        <v>-</v>
      </c>
      <c r="AA243" s="252" t="str">
        <f>IF((($A243="")*($B243=""))+((MID($Y243,1,4)&lt;&gt;"Wahl")*(Deckblatt!$C$14='WK-Vorlagen'!$C$82))+(Deckblatt!$C$14&lt;&gt;'WK-Vorlagen'!$C$82),"",IF(ISERROR(MATCH(VALUE(MID(G243,1,2)),Schwierigkeitsstufen!$G$7:$G$19,0)),"Gerät falsch",LOOKUP(VALUE(MID(G243,1,2)),Schwierigkeitsstufen!$G$7:$G$19,Schwierigkeitsstufen!$H$7:$H$19)))</f>
        <v/>
      </c>
      <c r="AB243" s="250" t="str">
        <f>IF((($A243="")*($B243=""))+((MID($Y243,1,4)&lt;&gt;"Wahl")*(Deckblatt!$C$14='WK-Vorlagen'!$C$82))+(Deckblatt!$C$14&lt;&gt;'WK-Vorlagen'!$C$82),"",IF(ISERROR(MATCH(VALUE(MID(H243,1,2)),Schwierigkeitsstufen!$G$7:$G$19,0)),"Gerät falsch",LOOKUP(VALUE(MID(H243,1,2)),Schwierigkeitsstufen!$G$7:$G$19,Schwierigkeitsstufen!$H$7:$H$19)))</f>
        <v/>
      </c>
      <c r="AC243" s="250" t="str">
        <f>IF((($A243="")*($B243=""))+((MID($Y243,1,4)&lt;&gt;"Wahl")*(Deckblatt!$C$14='WK-Vorlagen'!$C$82))+(Deckblatt!$C$14&lt;&gt;'WK-Vorlagen'!$C$82),"",IF(ISERROR(MATCH(VALUE(MID(I243,1,2)),Schwierigkeitsstufen!$G$7:$G$19,0)),"Gerät falsch",LOOKUP(VALUE(MID(I243,1,2)),Schwierigkeitsstufen!$G$7:$G$19,Schwierigkeitsstufen!$H$7:$H$19)))</f>
        <v/>
      </c>
      <c r="AD243" s="251" t="str">
        <f>IF((($A243="")*($B243=""))+((MID($Y243,1,4)&lt;&gt;"Wahl")*(Deckblatt!$C$14='WK-Vorlagen'!$C$82))+(Deckblatt!$C$14&lt;&gt;'WK-Vorlagen'!$C$82),"",IF(ISERROR(MATCH(VALUE(MID(J243,1,2)),Schwierigkeitsstufen!$G$7:$G$19,0)),"Gerät falsch",LOOKUP(VALUE(MID(J243,1,2)),Schwierigkeitsstufen!$G$7:$G$19,Schwierigkeitsstufen!$H$7:$H$19)))</f>
        <v/>
      </c>
      <c r="AE243" s="211"/>
      <c r="AG243" s="221" t="str">
        <f t="shared" si="27"/>
        <v/>
      </c>
      <c r="AH243" s="222" t="str">
        <f t="shared" si="29"/>
        <v/>
      </c>
      <c r="AI243" s="220">
        <f t="shared" si="34"/>
        <v>4</v>
      </c>
      <c r="AJ243" s="222">
        <f t="shared" si="30"/>
        <v>0</v>
      </c>
      <c r="AK243" s="299" t="str">
        <f>IF(ISERROR(LOOKUP(E243,WKNrListe,Übersicht!$R$7:$R$46)),"-",LOOKUP(E243,WKNrListe,Übersicht!$R$7:$R$46))</f>
        <v>-</v>
      </c>
      <c r="AL243" s="299" t="str">
        <f t="shared" si="33"/>
        <v>-</v>
      </c>
      <c r="AM243" s="303"/>
      <c r="AN243" s="174" t="str">
        <f t="shared" si="35"/>
        <v>Leer</v>
      </c>
    </row>
    <row r="244" spans="1:40" s="174" customFormat="1" ht="15" customHeight="1">
      <c r="A244" s="63"/>
      <c r="B244" s="63"/>
      <c r="C244" s="84"/>
      <c r="D244" s="85"/>
      <c r="E244" s="62"/>
      <c r="F244" s="62"/>
      <c r="G244" s="62"/>
      <c r="H244" s="62"/>
      <c r="I244" s="62"/>
      <c r="J244" s="62"/>
      <c r="K244" s="62"/>
      <c r="L244" s="62"/>
      <c r="M244" s="62"/>
      <c r="N244" s="62"/>
      <c r="O244" s="62"/>
      <c r="P244" s="62"/>
      <c r="Q244" s="62"/>
      <c r="R244" s="62"/>
      <c r="S244" s="258"/>
      <c r="T244" s="248" t="str">
        <f t="shared" si="31"/>
        <v/>
      </c>
      <c r="U244" s="249" t="str">
        <f t="shared" si="32"/>
        <v/>
      </c>
      <c r="V244" s="294" t="str">
        <f t="shared" si="28"/>
        <v/>
      </c>
      <c r="W244" s="294" t="str">
        <f>IF(((E244="")+(F244="")),"",IF(VLOOKUP(F244,Mannschaften!$A$1:$B$54,2,FALSE)&lt;&gt;E244,"Reiter Mannschaften füllen",""))</f>
        <v/>
      </c>
      <c r="X244" s="248" t="str">
        <f>IF(ISBLANK(C244),"",IF((U244&gt;(LOOKUP(E244,WKNrListe,Übersicht!$O$7:$O$46)))+(U244&lt;(LOOKUP(E244,WKNrListe,Übersicht!$P$7:$P$46))),"JG falsch",""))</f>
        <v/>
      </c>
      <c r="Y244" s="255" t="str">
        <f>IF((A244="")*(B244=""),"",IF(ISERROR(MATCH(E244,WKNrListe,0)),"WK falsch",LOOKUP(E244,WKNrListe,Übersicht!$B$7:$B$46)))</f>
        <v/>
      </c>
      <c r="Z244" s="269" t="str">
        <f>IF(((AJ244=0)*(AH244&lt;&gt;"")*(AK244="-"))+((AJ244&lt;&gt;0)*(AH244&lt;&gt;"")*(AK244="-")),IF(AG244="X",Übersicht!$C$70,Übersicht!$C$69),"-")</f>
        <v>-</v>
      </c>
      <c r="AA244" s="252" t="str">
        <f>IF((($A244="")*($B244=""))+((MID($Y244,1,4)&lt;&gt;"Wahl")*(Deckblatt!$C$14='WK-Vorlagen'!$C$82))+(Deckblatt!$C$14&lt;&gt;'WK-Vorlagen'!$C$82),"",IF(ISERROR(MATCH(VALUE(MID(G244,1,2)),Schwierigkeitsstufen!$G$7:$G$19,0)),"Gerät falsch",LOOKUP(VALUE(MID(G244,1,2)),Schwierigkeitsstufen!$G$7:$G$19,Schwierigkeitsstufen!$H$7:$H$19)))</f>
        <v/>
      </c>
      <c r="AB244" s="250" t="str">
        <f>IF((($A244="")*($B244=""))+((MID($Y244,1,4)&lt;&gt;"Wahl")*(Deckblatt!$C$14='WK-Vorlagen'!$C$82))+(Deckblatt!$C$14&lt;&gt;'WK-Vorlagen'!$C$82),"",IF(ISERROR(MATCH(VALUE(MID(H244,1,2)),Schwierigkeitsstufen!$G$7:$G$19,0)),"Gerät falsch",LOOKUP(VALUE(MID(H244,1,2)),Schwierigkeitsstufen!$G$7:$G$19,Schwierigkeitsstufen!$H$7:$H$19)))</f>
        <v/>
      </c>
      <c r="AC244" s="250" t="str">
        <f>IF((($A244="")*($B244=""))+((MID($Y244,1,4)&lt;&gt;"Wahl")*(Deckblatt!$C$14='WK-Vorlagen'!$C$82))+(Deckblatt!$C$14&lt;&gt;'WK-Vorlagen'!$C$82),"",IF(ISERROR(MATCH(VALUE(MID(I244,1,2)),Schwierigkeitsstufen!$G$7:$G$19,0)),"Gerät falsch",LOOKUP(VALUE(MID(I244,1,2)),Schwierigkeitsstufen!$G$7:$G$19,Schwierigkeitsstufen!$H$7:$H$19)))</f>
        <v/>
      </c>
      <c r="AD244" s="251" t="str">
        <f>IF((($A244="")*($B244=""))+((MID($Y244,1,4)&lt;&gt;"Wahl")*(Deckblatt!$C$14='WK-Vorlagen'!$C$82))+(Deckblatt!$C$14&lt;&gt;'WK-Vorlagen'!$C$82),"",IF(ISERROR(MATCH(VALUE(MID(J244,1,2)),Schwierigkeitsstufen!$G$7:$G$19,0)),"Gerät falsch",LOOKUP(VALUE(MID(J244,1,2)),Schwierigkeitsstufen!$G$7:$G$19,Schwierigkeitsstufen!$H$7:$H$19)))</f>
        <v/>
      </c>
      <c r="AE244" s="211"/>
      <c r="AG244" s="221" t="str">
        <f t="shared" si="27"/>
        <v/>
      </c>
      <c r="AH244" s="222" t="str">
        <f t="shared" si="29"/>
        <v/>
      </c>
      <c r="AI244" s="220">
        <f t="shared" si="34"/>
        <v>4</v>
      </c>
      <c r="AJ244" s="222">
        <f t="shared" si="30"/>
        <v>0</v>
      </c>
      <c r="AK244" s="299" t="str">
        <f>IF(ISERROR(LOOKUP(E244,WKNrListe,Übersicht!$R$7:$R$46)),"-",LOOKUP(E244,WKNrListe,Übersicht!$R$7:$R$46))</f>
        <v>-</v>
      </c>
      <c r="AL244" s="299" t="str">
        <f t="shared" si="33"/>
        <v>-</v>
      </c>
      <c r="AM244" s="303"/>
      <c r="AN244" s="174" t="str">
        <f t="shared" si="35"/>
        <v>Leer</v>
      </c>
    </row>
    <row r="245" spans="1:40" s="174" customFormat="1" ht="15" customHeight="1">
      <c r="A245" s="63"/>
      <c r="B245" s="63"/>
      <c r="C245" s="84"/>
      <c r="D245" s="85"/>
      <c r="E245" s="62"/>
      <c r="F245" s="62"/>
      <c r="G245" s="62"/>
      <c r="H245" s="62"/>
      <c r="I245" s="62"/>
      <c r="J245" s="62"/>
      <c r="K245" s="62"/>
      <c r="L245" s="62"/>
      <c r="M245" s="62"/>
      <c r="N245" s="62"/>
      <c r="O245" s="62"/>
      <c r="P245" s="62"/>
      <c r="Q245" s="62"/>
      <c r="R245" s="62"/>
      <c r="S245" s="258"/>
      <c r="T245" s="248" t="str">
        <f t="shared" si="31"/>
        <v/>
      </c>
      <c r="U245" s="249" t="str">
        <f t="shared" si="32"/>
        <v/>
      </c>
      <c r="V245" s="294" t="str">
        <f t="shared" si="28"/>
        <v/>
      </c>
      <c r="W245" s="294" t="str">
        <f>IF(((E245="")+(F245="")),"",IF(VLOOKUP(F245,Mannschaften!$A$1:$B$54,2,FALSE)&lt;&gt;E245,"Reiter Mannschaften füllen",""))</f>
        <v/>
      </c>
      <c r="X245" s="248" t="str">
        <f>IF(ISBLANK(C245),"",IF((U245&gt;(LOOKUP(E245,WKNrListe,Übersicht!$O$7:$O$46)))+(U245&lt;(LOOKUP(E245,WKNrListe,Übersicht!$P$7:$P$46))),"JG falsch",""))</f>
        <v/>
      </c>
      <c r="Y245" s="255" t="str">
        <f>IF((A245="")*(B245=""),"",IF(ISERROR(MATCH(E245,WKNrListe,0)),"WK falsch",LOOKUP(E245,WKNrListe,Übersicht!$B$7:$B$46)))</f>
        <v/>
      </c>
      <c r="Z245" s="269" t="str">
        <f>IF(((AJ245=0)*(AH245&lt;&gt;"")*(AK245="-"))+((AJ245&lt;&gt;0)*(AH245&lt;&gt;"")*(AK245="-")),IF(AG245="X",Übersicht!$C$70,Übersicht!$C$69),"-")</f>
        <v>-</v>
      </c>
      <c r="AA245" s="252" t="str">
        <f>IF((($A245="")*($B245=""))+((MID($Y245,1,4)&lt;&gt;"Wahl")*(Deckblatt!$C$14='WK-Vorlagen'!$C$82))+(Deckblatt!$C$14&lt;&gt;'WK-Vorlagen'!$C$82),"",IF(ISERROR(MATCH(VALUE(MID(G245,1,2)),Schwierigkeitsstufen!$G$7:$G$19,0)),"Gerät falsch",LOOKUP(VALUE(MID(G245,1,2)),Schwierigkeitsstufen!$G$7:$G$19,Schwierigkeitsstufen!$H$7:$H$19)))</f>
        <v/>
      </c>
      <c r="AB245" s="250" t="str">
        <f>IF((($A245="")*($B245=""))+((MID($Y245,1,4)&lt;&gt;"Wahl")*(Deckblatt!$C$14='WK-Vorlagen'!$C$82))+(Deckblatt!$C$14&lt;&gt;'WK-Vorlagen'!$C$82),"",IF(ISERROR(MATCH(VALUE(MID(H245,1,2)),Schwierigkeitsstufen!$G$7:$G$19,0)),"Gerät falsch",LOOKUP(VALUE(MID(H245,1,2)),Schwierigkeitsstufen!$G$7:$G$19,Schwierigkeitsstufen!$H$7:$H$19)))</f>
        <v/>
      </c>
      <c r="AC245" s="250" t="str">
        <f>IF((($A245="")*($B245=""))+((MID($Y245,1,4)&lt;&gt;"Wahl")*(Deckblatt!$C$14='WK-Vorlagen'!$C$82))+(Deckblatt!$C$14&lt;&gt;'WK-Vorlagen'!$C$82),"",IF(ISERROR(MATCH(VALUE(MID(I245,1,2)),Schwierigkeitsstufen!$G$7:$G$19,0)),"Gerät falsch",LOOKUP(VALUE(MID(I245,1,2)),Schwierigkeitsstufen!$G$7:$G$19,Schwierigkeitsstufen!$H$7:$H$19)))</f>
        <v/>
      </c>
      <c r="AD245" s="251" t="str">
        <f>IF((($A245="")*($B245=""))+((MID($Y245,1,4)&lt;&gt;"Wahl")*(Deckblatt!$C$14='WK-Vorlagen'!$C$82))+(Deckblatt!$C$14&lt;&gt;'WK-Vorlagen'!$C$82),"",IF(ISERROR(MATCH(VALUE(MID(J245,1,2)),Schwierigkeitsstufen!$G$7:$G$19,0)),"Gerät falsch",LOOKUP(VALUE(MID(J245,1,2)),Schwierigkeitsstufen!$G$7:$G$19,Schwierigkeitsstufen!$H$7:$H$19)))</f>
        <v/>
      </c>
      <c r="AE245" s="211"/>
      <c r="AG245" s="221" t="str">
        <f t="shared" si="27"/>
        <v/>
      </c>
      <c r="AH245" s="222" t="str">
        <f t="shared" si="29"/>
        <v/>
      </c>
      <c r="AI245" s="220">
        <f t="shared" si="34"/>
        <v>4</v>
      </c>
      <c r="AJ245" s="222">
        <f t="shared" si="30"/>
        <v>0</v>
      </c>
      <c r="AK245" s="299" t="str">
        <f>IF(ISERROR(LOOKUP(E245,WKNrListe,Übersicht!$R$7:$R$46)),"-",LOOKUP(E245,WKNrListe,Übersicht!$R$7:$R$46))</f>
        <v>-</v>
      </c>
      <c r="AL245" s="299" t="str">
        <f t="shared" si="33"/>
        <v>-</v>
      </c>
      <c r="AM245" s="303"/>
      <c r="AN245" s="174" t="str">
        <f t="shared" si="35"/>
        <v>Leer</v>
      </c>
    </row>
    <row r="246" spans="1:40" s="174" customFormat="1" ht="15" customHeight="1">
      <c r="A246" s="63"/>
      <c r="B246" s="63"/>
      <c r="C246" s="84"/>
      <c r="D246" s="85"/>
      <c r="E246" s="62"/>
      <c r="F246" s="62"/>
      <c r="G246" s="62"/>
      <c r="H246" s="62"/>
      <c r="I246" s="62"/>
      <c r="J246" s="62"/>
      <c r="K246" s="62"/>
      <c r="L246" s="62"/>
      <c r="M246" s="62"/>
      <c r="N246" s="62"/>
      <c r="O246" s="62"/>
      <c r="P246" s="62"/>
      <c r="Q246" s="62"/>
      <c r="R246" s="62"/>
      <c r="S246" s="258"/>
      <c r="T246" s="248" t="str">
        <f t="shared" si="31"/>
        <v/>
      </c>
      <c r="U246" s="249" t="str">
        <f t="shared" si="32"/>
        <v/>
      </c>
      <c r="V246" s="294" t="str">
        <f t="shared" si="28"/>
        <v/>
      </c>
      <c r="W246" s="294" t="str">
        <f>IF(((E246="")+(F246="")),"",IF(VLOOKUP(F246,Mannschaften!$A$1:$B$54,2,FALSE)&lt;&gt;E246,"Reiter Mannschaften füllen",""))</f>
        <v/>
      </c>
      <c r="X246" s="248" t="str">
        <f>IF(ISBLANK(C246),"",IF((U246&gt;(LOOKUP(E246,WKNrListe,Übersicht!$O$7:$O$46)))+(U246&lt;(LOOKUP(E246,WKNrListe,Übersicht!$P$7:$P$46))),"JG falsch",""))</f>
        <v/>
      </c>
      <c r="Y246" s="255" t="str">
        <f>IF((A246="")*(B246=""),"",IF(ISERROR(MATCH(E246,WKNrListe,0)),"WK falsch",LOOKUP(E246,WKNrListe,Übersicht!$B$7:$B$46)))</f>
        <v/>
      </c>
      <c r="Z246" s="269" t="str">
        <f>IF(((AJ246=0)*(AH246&lt;&gt;"")*(AK246="-"))+((AJ246&lt;&gt;0)*(AH246&lt;&gt;"")*(AK246="-")),IF(AG246="X",Übersicht!$C$70,Übersicht!$C$69),"-")</f>
        <v>-</v>
      </c>
      <c r="AA246" s="252" t="str">
        <f>IF((($A246="")*($B246=""))+((MID($Y246,1,4)&lt;&gt;"Wahl")*(Deckblatt!$C$14='WK-Vorlagen'!$C$82))+(Deckblatt!$C$14&lt;&gt;'WK-Vorlagen'!$C$82),"",IF(ISERROR(MATCH(VALUE(MID(G246,1,2)),Schwierigkeitsstufen!$G$7:$G$19,0)),"Gerät falsch",LOOKUP(VALUE(MID(G246,1,2)),Schwierigkeitsstufen!$G$7:$G$19,Schwierigkeitsstufen!$H$7:$H$19)))</f>
        <v/>
      </c>
      <c r="AB246" s="250" t="str">
        <f>IF((($A246="")*($B246=""))+((MID($Y246,1,4)&lt;&gt;"Wahl")*(Deckblatt!$C$14='WK-Vorlagen'!$C$82))+(Deckblatt!$C$14&lt;&gt;'WK-Vorlagen'!$C$82),"",IF(ISERROR(MATCH(VALUE(MID(H246,1,2)),Schwierigkeitsstufen!$G$7:$G$19,0)),"Gerät falsch",LOOKUP(VALUE(MID(H246,1,2)),Schwierigkeitsstufen!$G$7:$G$19,Schwierigkeitsstufen!$H$7:$H$19)))</f>
        <v/>
      </c>
      <c r="AC246" s="250" t="str">
        <f>IF((($A246="")*($B246=""))+((MID($Y246,1,4)&lt;&gt;"Wahl")*(Deckblatt!$C$14='WK-Vorlagen'!$C$82))+(Deckblatt!$C$14&lt;&gt;'WK-Vorlagen'!$C$82),"",IF(ISERROR(MATCH(VALUE(MID(I246,1,2)),Schwierigkeitsstufen!$G$7:$G$19,0)),"Gerät falsch",LOOKUP(VALUE(MID(I246,1,2)),Schwierigkeitsstufen!$G$7:$G$19,Schwierigkeitsstufen!$H$7:$H$19)))</f>
        <v/>
      </c>
      <c r="AD246" s="251" t="str">
        <f>IF((($A246="")*($B246=""))+((MID($Y246,1,4)&lt;&gt;"Wahl")*(Deckblatt!$C$14='WK-Vorlagen'!$C$82))+(Deckblatt!$C$14&lt;&gt;'WK-Vorlagen'!$C$82),"",IF(ISERROR(MATCH(VALUE(MID(J246,1,2)),Schwierigkeitsstufen!$G$7:$G$19,0)),"Gerät falsch",LOOKUP(VALUE(MID(J246,1,2)),Schwierigkeitsstufen!$G$7:$G$19,Schwierigkeitsstufen!$H$7:$H$19)))</f>
        <v/>
      </c>
      <c r="AE246" s="211"/>
      <c r="AG246" s="221" t="str">
        <f t="shared" si="27"/>
        <v/>
      </c>
      <c r="AH246" s="222" t="str">
        <f t="shared" si="29"/>
        <v/>
      </c>
      <c r="AI246" s="220">
        <f t="shared" si="34"/>
        <v>4</v>
      </c>
      <c r="AJ246" s="222">
        <f t="shared" si="30"/>
        <v>0</v>
      </c>
      <c r="AK246" s="299" t="str">
        <f>IF(ISERROR(LOOKUP(E246,WKNrListe,Übersicht!$R$7:$R$46)),"-",LOOKUP(E246,WKNrListe,Übersicht!$R$7:$R$46))</f>
        <v>-</v>
      </c>
      <c r="AL246" s="299" t="str">
        <f t="shared" si="33"/>
        <v>-</v>
      </c>
      <c r="AM246" s="303"/>
      <c r="AN246" s="174" t="str">
        <f t="shared" si="35"/>
        <v>Leer</v>
      </c>
    </row>
    <row r="247" spans="1:40" s="174" customFormat="1" ht="15" customHeight="1">
      <c r="A247" s="63"/>
      <c r="B247" s="63"/>
      <c r="C247" s="84"/>
      <c r="D247" s="85"/>
      <c r="E247" s="62"/>
      <c r="F247" s="62"/>
      <c r="G247" s="62"/>
      <c r="H247" s="62"/>
      <c r="I247" s="62"/>
      <c r="J247" s="62"/>
      <c r="K247" s="62"/>
      <c r="L247" s="62"/>
      <c r="M247" s="62"/>
      <c r="N247" s="62"/>
      <c r="O247" s="62"/>
      <c r="P247" s="62"/>
      <c r="Q247" s="62"/>
      <c r="R247" s="62"/>
      <c r="S247" s="258"/>
      <c r="T247" s="248" t="str">
        <f t="shared" si="31"/>
        <v/>
      </c>
      <c r="U247" s="249" t="str">
        <f t="shared" si="32"/>
        <v/>
      </c>
      <c r="V247" s="294" t="str">
        <f t="shared" si="28"/>
        <v/>
      </c>
      <c r="W247" s="294" t="str">
        <f>IF(((E247="")+(F247="")),"",IF(VLOOKUP(F247,Mannschaften!$A$1:$B$54,2,FALSE)&lt;&gt;E247,"Reiter Mannschaften füllen",""))</f>
        <v/>
      </c>
      <c r="X247" s="248" t="str">
        <f>IF(ISBLANK(C247),"",IF((U247&gt;(LOOKUP(E247,WKNrListe,Übersicht!$O$7:$O$46)))+(U247&lt;(LOOKUP(E247,WKNrListe,Übersicht!$P$7:$P$46))),"JG falsch",""))</f>
        <v/>
      </c>
      <c r="Y247" s="255" t="str">
        <f>IF((A247="")*(B247=""),"",IF(ISERROR(MATCH(E247,WKNrListe,0)),"WK falsch",LOOKUP(E247,WKNrListe,Übersicht!$B$7:$B$46)))</f>
        <v/>
      </c>
      <c r="Z247" s="269" t="str">
        <f>IF(((AJ247=0)*(AH247&lt;&gt;"")*(AK247="-"))+((AJ247&lt;&gt;0)*(AH247&lt;&gt;"")*(AK247="-")),IF(AG247="X",Übersicht!$C$70,Übersicht!$C$69),"-")</f>
        <v>-</v>
      </c>
      <c r="AA247" s="252" t="str">
        <f>IF((($A247="")*($B247=""))+((MID($Y247,1,4)&lt;&gt;"Wahl")*(Deckblatt!$C$14='WK-Vorlagen'!$C$82))+(Deckblatt!$C$14&lt;&gt;'WK-Vorlagen'!$C$82),"",IF(ISERROR(MATCH(VALUE(MID(G247,1,2)),Schwierigkeitsstufen!$G$7:$G$19,0)),"Gerät falsch",LOOKUP(VALUE(MID(G247,1,2)),Schwierigkeitsstufen!$G$7:$G$19,Schwierigkeitsstufen!$H$7:$H$19)))</f>
        <v/>
      </c>
      <c r="AB247" s="250" t="str">
        <f>IF((($A247="")*($B247=""))+((MID($Y247,1,4)&lt;&gt;"Wahl")*(Deckblatt!$C$14='WK-Vorlagen'!$C$82))+(Deckblatt!$C$14&lt;&gt;'WK-Vorlagen'!$C$82),"",IF(ISERROR(MATCH(VALUE(MID(H247,1,2)),Schwierigkeitsstufen!$G$7:$G$19,0)),"Gerät falsch",LOOKUP(VALUE(MID(H247,1,2)),Schwierigkeitsstufen!$G$7:$G$19,Schwierigkeitsstufen!$H$7:$H$19)))</f>
        <v/>
      </c>
      <c r="AC247" s="250" t="str">
        <f>IF((($A247="")*($B247=""))+((MID($Y247,1,4)&lt;&gt;"Wahl")*(Deckblatt!$C$14='WK-Vorlagen'!$C$82))+(Deckblatt!$C$14&lt;&gt;'WK-Vorlagen'!$C$82),"",IF(ISERROR(MATCH(VALUE(MID(I247,1,2)),Schwierigkeitsstufen!$G$7:$G$19,0)),"Gerät falsch",LOOKUP(VALUE(MID(I247,1,2)),Schwierigkeitsstufen!$G$7:$G$19,Schwierigkeitsstufen!$H$7:$H$19)))</f>
        <v/>
      </c>
      <c r="AD247" s="251" t="str">
        <f>IF((($A247="")*($B247=""))+((MID($Y247,1,4)&lt;&gt;"Wahl")*(Deckblatt!$C$14='WK-Vorlagen'!$C$82))+(Deckblatt!$C$14&lt;&gt;'WK-Vorlagen'!$C$82),"",IF(ISERROR(MATCH(VALUE(MID(J247,1,2)),Schwierigkeitsstufen!$G$7:$G$19,0)),"Gerät falsch",LOOKUP(VALUE(MID(J247,1,2)),Schwierigkeitsstufen!$G$7:$G$19,Schwierigkeitsstufen!$H$7:$H$19)))</f>
        <v/>
      </c>
      <c r="AE247" s="211"/>
      <c r="AG247" s="221" t="str">
        <f t="shared" si="27"/>
        <v/>
      </c>
      <c r="AH247" s="222" t="str">
        <f t="shared" si="29"/>
        <v/>
      </c>
      <c r="AI247" s="220">
        <f t="shared" si="34"/>
        <v>4</v>
      </c>
      <c r="AJ247" s="222">
        <f t="shared" si="30"/>
        <v>0</v>
      </c>
      <c r="AK247" s="299" t="str">
        <f>IF(ISERROR(LOOKUP(E247,WKNrListe,Übersicht!$R$7:$R$46)),"-",LOOKUP(E247,WKNrListe,Übersicht!$R$7:$R$46))</f>
        <v>-</v>
      </c>
      <c r="AL247" s="299" t="str">
        <f t="shared" si="33"/>
        <v>-</v>
      </c>
      <c r="AM247" s="303"/>
      <c r="AN247" s="174" t="str">
        <f t="shared" si="35"/>
        <v>Leer</v>
      </c>
    </row>
    <row r="248" spans="1:40" s="174" customFormat="1" ht="15" customHeight="1">
      <c r="A248" s="63"/>
      <c r="B248" s="63"/>
      <c r="C248" s="84"/>
      <c r="D248" s="85"/>
      <c r="E248" s="62"/>
      <c r="F248" s="62"/>
      <c r="G248" s="62"/>
      <c r="H248" s="62"/>
      <c r="I248" s="62"/>
      <c r="J248" s="62"/>
      <c r="K248" s="62"/>
      <c r="L248" s="62"/>
      <c r="M248" s="62"/>
      <c r="N248" s="62"/>
      <c r="O248" s="62"/>
      <c r="P248" s="62"/>
      <c r="Q248" s="62"/>
      <c r="R248" s="62"/>
      <c r="S248" s="258"/>
      <c r="T248" s="248" t="str">
        <f t="shared" si="31"/>
        <v/>
      </c>
      <c r="U248" s="249" t="str">
        <f t="shared" si="32"/>
        <v/>
      </c>
      <c r="V248" s="294" t="str">
        <f t="shared" si="28"/>
        <v/>
      </c>
      <c r="W248" s="294" t="str">
        <f>IF(((E248="")+(F248="")),"",IF(VLOOKUP(F248,Mannschaften!$A$1:$B$54,2,FALSE)&lt;&gt;E248,"Reiter Mannschaften füllen",""))</f>
        <v/>
      </c>
      <c r="X248" s="248" t="str">
        <f>IF(ISBLANK(C248),"",IF((U248&gt;(LOOKUP(E248,WKNrListe,Übersicht!$O$7:$O$46)))+(U248&lt;(LOOKUP(E248,WKNrListe,Übersicht!$P$7:$P$46))),"JG falsch",""))</f>
        <v/>
      </c>
      <c r="Y248" s="255" t="str">
        <f>IF((A248="")*(B248=""),"",IF(ISERROR(MATCH(E248,WKNrListe,0)),"WK falsch",LOOKUP(E248,WKNrListe,Übersicht!$B$7:$B$46)))</f>
        <v/>
      </c>
      <c r="Z248" s="269" t="str">
        <f>IF(((AJ248=0)*(AH248&lt;&gt;"")*(AK248="-"))+((AJ248&lt;&gt;0)*(AH248&lt;&gt;"")*(AK248="-")),IF(AG248="X",Übersicht!$C$70,Übersicht!$C$69),"-")</f>
        <v>-</v>
      </c>
      <c r="AA248" s="252" t="str">
        <f>IF((($A248="")*($B248=""))+((MID($Y248,1,4)&lt;&gt;"Wahl")*(Deckblatt!$C$14='WK-Vorlagen'!$C$82))+(Deckblatt!$C$14&lt;&gt;'WK-Vorlagen'!$C$82),"",IF(ISERROR(MATCH(VALUE(MID(G248,1,2)),Schwierigkeitsstufen!$G$7:$G$19,0)),"Gerät falsch",LOOKUP(VALUE(MID(G248,1,2)),Schwierigkeitsstufen!$G$7:$G$19,Schwierigkeitsstufen!$H$7:$H$19)))</f>
        <v/>
      </c>
      <c r="AB248" s="250" t="str">
        <f>IF((($A248="")*($B248=""))+((MID($Y248,1,4)&lt;&gt;"Wahl")*(Deckblatt!$C$14='WK-Vorlagen'!$C$82))+(Deckblatt!$C$14&lt;&gt;'WK-Vorlagen'!$C$82),"",IF(ISERROR(MATCH(VALUE(MID(H248,1,2)),Schwierigkeitsstufen!$G$7:$G$19,0)),"Gerät falsch",LOOKUP(VALUE(MID(H248,1,2)),Schwierigkeitsstufen!$G$7:$G$19,Schwierigkeitsstufen!$H$7:$H$19)))</f>
        <v/>
      </c>
      <c r="AC248" s="250" t="str">
        <f>IF((($A248="")*($B248=""))+((MID($Y248,1,4)&lt;&gt;"Wahl")*(Deckblatt!$C$14='WK-Vorlagen'!$C$82))+(Deckblatt!$C$14&lt;&gt;'WK-Vorlagen'!$C$82),"",IF(ISERROR(MATCH(VALUE(MID(I248,1,2)),Schwierigkeitsstufen!$G$7:$G$19,0)),"Gerät falsch",LOOKUP(VALUE(MID(I248,1,2)),Schwierigkeitsstufen!$G$7:$G$19,Schwierigkeitsstufen!$H$7:$H$19)))</f>
        <v/>
      </c>
      <c r="AD248" s="251" t="str">
        <f>IF((($A248="")*($B248=""))+((MID($Y248,1,4)&lt;&gt;"Wahl")*(Deckblatt!$C$14='WK-Vorlagen'!$C$82))+(Deckblatt!$C$14&lt;&gt;'WK-Vorlagen'!$C$82),"",IF(ISERROR(MATCH(VALUE(MID(J248,1,2)),Schwierigkeitsstufen!$G$7:$G$19,0)),"Gerät falsch",LOOKUP(VALUE(MID(J248,1,2)),Schwierigkeitsstufen!$G$7:$G$19,Schwierigkeitsstufen!$H$7:$H$19)))</f>
        <v/>
      </c>
      <c r="AE248" s="211"/>
      <c r="AG248" s="221" t="str">
        <f t="shared" si="27"/>
        <v/>
      </c>
      <c r="AH248" s="222" t="str">
        <f t="shared" si="29"/>
        <v/>
      </c>
      <c r="AI248" s="220">
        <f t="shared" si="34"/>
        <v>4</v>
      </c>
      <c r="AJ248" s="222">
        <f t="shared" si="30"/>
        <v>0</v>
      </c>
      <c r="AK248" s="299" t="str">
        <f>IF(ISERROR(LOOKUP(E248,WKNrListe,Übersicht!$R$7:$R$46)),"-",LOOKUP(E248,WKNrListe,Übersicht!$R$7:$R$46))</f>
        <v>-</v>
      </c>
      <c r="AL248" s="299" t="str">
        <f t="shared" si="33"/>
        <v>-</v>
      </c>
      <c r="AM248" s="303"/>
      <c r="AN248" s="174" t="str">
        <f t="shared" si="35"/>
        <v>Leer</v>
      </c>
    </row>
    <row r="249" spans="1:40" s="174" customFormat="1" ht="15" customHeight="1">
      <c r="A249" s="63"/>
      <c r="B249" s="63"/>
      <c r="C249" s="84"/>
      <c r="D249" s="85"/>
      <c r="E249" s="62"/>
      <c r="F249" s="62"/>
      <c r="G249" s="62"/>
      <c r="H249" s="62"/>
      <c r="I249" s="62"/>
      <c r="J249" s="62"/>
      <c r="K249" s="62"/>
      <c r="L249" s="62"/>
      <c r="M249" s="62"/>
      <c r="N249" s="62"/>
      <c r="O249" s="62"/>
      <c r="P249" s="62"/>
      <c r="Q249" s="62"/>
      <c r="R249" s="62"/>
      <c r="S249" s="258"/>
      <c r="T249" s="248" t="str">
        <f t="shared" si="31"/>
        <v/>
      </c>
      <c r="U249" s="249" t="str">
        <f t="shared" si="32"/>
        <v/>
      </c>
      <c r="V249" s="294" t="str">
        <f t="shared" si="28"/>
        <v/>
      </c>
      <c r="W249" s="294" t="str">
        <f>IF(((E249="")+(F249="")),"",IF(VLOOKUP(F249,Mannschaften!$A$1:$B$54,2,FALSE)&lt;&gt;E249,"Reiter Mannschaften füllen",""))</f>
        <v/>
      </c>
      <c r="X249" s="248" t="str">
        <f>IF(ISBLANK(C249),"",IF((U249&gt;(LOOKUP(E249,WKNrListe,Übersicht!$O$7:$O$46)))+(U249&lt;(LOOKUP(E249,WKNrListe,Übersicht!$P$7:$P$46))),"JG falsch",""))</f>
        <v/>
      </c>
      <c r="Y249" s="255" t="str">
        <f>IF((A249="")*(B249=""),"",IF(ISERROR(MATCH(E249,WKNrListe,0)),"WK falsch",LOOKUP(E249,WKNrListe,Übersicht!$B$7:$B$46)))</f>
        <v/>
      </c>
      <c r="Z249" s="269" t="str">
        <f>IF(((AJ249=0)*(AH249&lt;&gt;"")*(AK249="-"))+((AJ249&lt;&gt;0)*(AH249&lt;&gt;"")*(AK249="-")),IF(AG249="X",Übersicht!$C$70,Übersicht!$C$69),"-")</f>
        <v>-</v>
      </c>
      <c r="AA249" s="252" t="str">
        <f>IF((($A249="")*($B249=""))+((MID($Y249,1,4)&lt;&gt;"Wahl")*(Deckblatt!$C$14='WK-Vorlagen'!$C$82))+(Deckblatt!$C$14&lt;&gt;'WK-Vorlagen'!$C$82),"",IF(ISERROR(MATCH(VALUE(MID(G249,1,2)),Schwierigkeitsstufen!$G$7:$G$19,0)),"Gerät falsch",LOOKUP(VALUE(MID(G249,1,2)),Schwierigkeitsstufen!$G$7:$G$19,Schwierigkeitsstufen!$H$7:$H$19)))</f>
        <v/>
      </c>
      <c r="AB249" s="250" t="str">
        <f>IF((($A249="")*($B249=""))+((MID($Y249,1,4)&lt;&gt;"Wahl")*(Deckblatt!$C$14='WK-Vorlagen'!$C$82))+(Deckblatt!$C$14&lt;&gt;'WK-Vorlagen'!$C$82),"",IF(ISERROR(MATCH(VALUE(MID(H249,1,2)),Schwierigkeitsstufen!$G$7:$G$19,0)),"Gerät falsch",LOOKUP(VALUE(MID(H249,1,2)),Schwierigkeitsstufen!$G$7:$G$19,Schwierigkeitsstufen!$H$7:$H$19)))</f>
        <v/>
      </c>
      <c r="AC249" s="250" t="str">
        <f>IF((($A249="")*($B249=""))+((MID($Y249,1,4)&lt;&gt;"Wahl")*(Deckblatt!$C$14='WK-Vorlagen'!$C$82))+(Deckblatt!$C$14&lt;&gt;'WK-Vorlagen'!$C$82),"",IF(ISERROR(MATCH(VALUE(MID(I249,1,2)),Schwierigkeitsstufen!$G$7:$G$19,0)),"Gerät falsch",LOOKUP(VALUE(MID(I249,1,2)),Schwierigkeitsstufen!$G$7:$G$19,Schwierigkeitsstufen!$H$7:$H$19)))</f>
        <v/>
      </c>
      <c r="AD249" s="251" t="str">
        <f>IF((($A249="")*($B249=""))+((MID($Y249,1,4)&lt;&gt;"Wahl")*(Deckblatt!$C$14='WK-Vorlagen'!$C$82))+(Deckblatt!$C$14&lt;&gt;'WK-Vorlagen'!$C$82),"",IF(ISERROR(MATCH(VALUE(MID(J249,1,2)),Schwierigkeitsstufen!$G$7:$G$19,0)),"Gerät falsch",LOOKUP(VALUE(MID(J249,1,2)),Schwierigkeitsstufen!$G$7:$G$19,Schwierigkeitsstufen!$H$7:$H$19)))</f>
        <v/>
      </c>
      <c r="AE249" s="211"/>
      <c r="AG249" s="221" t="str">
        <f t="shared" si="27"/>
        <v/>
      </c>
      <c r="AH249" s="222" t="str">
        <f t="shared" si="29"/>
        <v/>
      </c>
      <c r="AI249" s="220">
        <f t="shared" si="34"/>
        <v>4</v>
      </c>
      <c r="AJ249" s="222">
        <f t="shared" si="30"/>
        <v>0</v>
      </c>
      <c r="AK249" s="299" t="str">
        <f>IF(ISERROR(LOOKUP(E249,WKNrListe,Übersicht!$R$7:$R$46)),"-",LOOKUP(E249,WKNrListe,Übersicht!$R$7:$R$46))</f>
        <v>-</v>
      </c>
      <c r="AL249" s="299" t="str">
        <f t="shared" si="33"/>
        <v>-</v>
      </c>
      <c r="AM249" s="303"/>
      <c r="AN249" s="174" t="str">
        <f t="shared" si="35"/>
        <v>Leer</v>
      </c>
    </row>
    <row r="250" spans="1:40" s="174" customFormat="1" ht="15" customHeight="1">
      <c r="A250" s="63"/>
      <c r="B250" s="63"/>
      <c r="C250" s="84"/>
      <c r="D250" s="85"/>
      <c r="E250" s="62"/>
      <c r="F250" s="62"/>
      <c r="G250" s="62"/>
      <c r="H250" s="62"/>
      <c r="I250" s="62"/>
      <c r="J250" s="62"/>
      <c r="K250" s="62"/>
      <c r="L250" s="62"/>
      <c r="M250" s="62"/>
      <c r="N250" s="62"/>
      <c r="O250" s="62"/>
      <c r="P250" s="62"/>
      <c r="Q250" s="62"/>
      <c r="R250" s="62"/>
      <c r="S250" s="258"/>
      <c r="T250" s="248" t="str">
        <f t="shared" si="31"/>
        <v/>
      </c>
      <c r="U250" s="249" t="str">
        <f t="shared" si="32"/>
        <v/>
      </c>
      <c r="V250" s="294" t="str">
        <f t="shared" si="28"/>
        <v/>
      </c>
      <c r="W250" s="294" t="str">
        <f>IF(((E250="")+(F250="")),"",IF(VLOOKUP(F250,Mannschaften!$A$1:$B$54,2,FALSE)&lt;&gt;E250,"Reiter Mannschaften füllen",""))</f>
        <v/>
      </c>
      <c r="X250" s="248" t="str">
        <f>IF(ISBLANK(C250),"",IF((U250&gt;(LOOKUP(E250,WKNrListe,Übersicht!$O$7:$O$46)))+(U250&lt;(LOOKUP(E250,WKNrListe,Übersicht!$P$7:$P$46))),"JG falsch",""))</f>
        <v/>
      </c>
      <c r="Y250" s="255" t="str">
        <f>IF((A250="")*(B250=""),"",IF(ISERROR(MATCH(E250,WKNrListe,0)),"WK falsch",LOOKUP(E250,WKNrListe,Übersicht!$B$7:$B$46)))</f>
        <v/>
      </c>
      <c r="Z250" s="269" t="str">
        <f>IF(((AJ250=0)*(AH250&lt;&gt;"")*(AK250="-"))+((AJ250&lt;&gt;0)*(AH250&lt;&gt;"")*(AK250="-")),IF(AG250="X",Übersicht!$C$70,Übersicht!$C$69),"-")</f>
        <v>-</v>
      </c>
      <c r="AA250" s="252" t="str">
        <f>IF((($A250="")*($B250=""))+((MID($Y250,1,4)&lt;&gt;"Wahl")*(Deckblatt!$C$14='WK-Vorlagen'!$C$82))+(Deckblatt!$C$14&lt;&gt;'WK-Vorlagen'!$C$82),"",IF(ISERROR(MATCH(VALUE(MID(G250,1,2)),Schwierigkeitsstufen!$G$7:$G$19,0)),"Gerät falsch",LOOKUP(VALUE(MID(G250,1,2)),Schwierigkeitsstufen!$G$7:$G$19,Schwierigkeitsstufen!$H$7:$H$19)))</f>
        <v/>
      </c>
      <c r="AB250" s="250" t="str">
        <f>IF((($A250="")*($B250=""))+((MID($Y250,1,4)&lt;&gt;"Wahl")*(Deckblatt!$C$14='WK-Vorlagen'!$C$82))+(Deckblatt!$C$14&lt;&gt;'WK-Vorlagen'!$C$82),"",IF(ISERROR(MATCH(VALUE(MID(H250,1,2)),Schwierigkeitsstufen!$G$7:$G$19,0)),"Gerät falsch",LOOKUP(VALUE(MID(H250,1,2)),Schwierigkeitsstufen!$G$7:$G$19,Schwierigkeitsstufen!$H$7:$H$19)))</f>
        <v/>
      </c>
      <c r="AC250" s="250" t="str">
        <f>IF((($A250="")*($B250=""))+((MID($Y250,1,4)&lt;&gt;"Wahl")*(Deckblatt!$C$14='WK-Vorlagen'!$C$82))+(Deckblatt!$C$14&lt;&gt;'WK-Vorlagen'!$C$82),"",IF(ISERROR(MATCH(VALUE(MID(I250,1,2)),Schwierigkeitsstufen!$G$7:$G$19,0)),"Gerät falsch",LOOKUP(VALUE(MID(I250,1,2)),Schwierigkeitsstufen!$G$7:$G$19,Schwierigkeitsstufen!$H$7:$H$19)))</f>
        <v/>
      </c>
      <c r="AD250" s="251" t="str">
        <f>IF((($A250="")*($B250=""))+((MID($Y250,1,4)&lt;&gt;"Wahl")*(Deckblatt!$C$14='WK-Vorlagen'!$C$82))+(Deckblatt!$C$14&lt;&gt;'WK-Vorlagen'!$C$82),"",IF(ISERROR(MATCH(VALUE(MID(J250,1,2)),Schwierigkeitsstufen!$G$7:$G$19,0)),"Gerät falsch",LOOKUP(VALUE(MID(J250,1,2)),Schwierigkeitsstufen!$G$7:$G$19,Schwierigkeitsstufen!$H$7:$H$19)))</f>
        <v/>
      </c>
      <c r="AE250" s="211"/>
      <c r="AG250" s="221" t="str">
        <f t="shared" si="27"/>
        <v/>
      </c>
      <c r="AH250" s="222" t="str">
        <f t="shared" si="29"/>
        <v/>
      </c>
      <c r="AI250" s="220">
        <f t="shared" si="34"/>
        <v>4</v>
      </c>
      <c r="AJ250" s="222">
        <f t="shared" si="30"/>
        <v>0</v>
      </c>
      <c r="AK250" s="299" t="str">
        <f>IF(ISERROR(LOOKUP(E250,WKNrListe,Übersicht!$R$7:$R$46)),"-",LOOKUP(E250,WKNrListe,Übersicht!$R$7:$R$46))</f>
        <v>-</v>
      </c>
      <c r="AL250" s="299" t="str">
        <f t="shared" si="33"/>
        <v>-</v>
      </c>
      <c r="AM250" s="303"/>
      <c r="AN250" s="174" t="str">
        <f t="shared" si="35"/>
        <v>Leer</v>
      </c>
    </row>
    <row r="251" spans="1:40" s="174" customFormat="1" ht="15" customHeight="1">
      <c r="A251" s="63"/>
      <c r="B251" s="63"/>
      <c r="C251" s="84"/>
      <c r="D251" s="85"/>
      <c r="E251" s="62"/>
      <c r="F251" s="62"/>
      <c r="G251" s="62"/>
      <c r="H251" s="62"/>
      <c r="I251" s="62"/>
      <c r="J251" s="62"/>
      <c r="K251" s="62"/>
      <c r="L251" s="62"/>
      <c r="M251" s="62"/>
      <c r="N251" s="62"/>
      <c r="O251" s="62"/>
      <c r="P251" s="62"/>
      <c r="Q251" s="62"/>
      <c r="R251" s="62"/>
      <c r="S251" s="258"/>
      <c r="T251" s="248" t="str">
        <f t="shared" si="31"/>
        <v/>
      </c>
      <c r="U251" s="249" t="str">
        <f t="shared" si="32"/>
        <v/>
      </c>
      <c r="V251" s="294" t="str">
        <f t="shared" si="28"/>
        <v/>
      </c>
      <c r="W251" s="294" t="str">
        <f>IF(((E251="")+(F251="")),"",IF(VLOOKUP(F251,Mannschaften!$A$1:$B$54,2,FALSE)&lt;&gt;E251,"Reiter Mannschaften füllen",""))</f>
        <v/>
      </c>
      <c r="X251" s="248" t="str">
        <f>IF(ISBLANK(C251),"",IF((U251&gt;(LOOKUP(E251,WKNrListe,Übersicht!$O$7:$O$46)))+(U251&lt;(LOOKUP(E251,WKNrListe,Übersicht!$P$7:$P$46))),"JG falsch",""))</f>
        <v/>
      </c>
      <c r="Y251" s="255" t="str">
        <f>IF((A251="")*(B251=""),"",IF(ISERROR(MATCH(E251,WKNrListe,0)),"WK falsch",LOOKUP(E251,WKNrListe,Übersicht!$B$7:$B$46)))</f>
        <v/>
      </c>
      <c r="Z251" s="269" t="str">
        <f>IF(((AJ251=0)*(AH251&lt;&gt;"")*(AK251="-"))+((AJ251&lt;&gt;0)*(AH251&lt;&gt;"")*(AK251="-")),IF(AG251="X",Übersicht!$C$70,Übersicht!$C$69),"-")</f>
        <v>-</v>
      </c>
      <c r="AA251" s="252" t="str">
        <f>IF((($A251="")*($B251=""))+((MID($Y251,1,4)&lt;&gt;"Wahl")*(Deckblatt!$C$14='WK-Vorlagen'!$C$82))+(Deckblatt!$C$14&lt;&gt;'WK-Vorlagen'!$C$82),"",IF(ISERROR(MATCH(VALUE(MID(G251,1,2)),Schwierigkeitsstufen!$G$7:$G$19,0)),"Gerät falsch",LOOKUP(VALUE(MID(G251,1,2)),Schwierigkeitsstufen!$G$7:$G$19,Schwierigkeitsstufen!$H$7:$H$19)))</f>
        <v/>
      </c>
      <c r="AB251" s="250" t="str">
        <f>IF((($A251="")*($B251=""))+((MID($Y251,1,4)&lt;&gt;"Wahl")*(Deckblatt!$C$14='WK-Vorlagen'!$C$82))+(Deckblatt!$C$14&lt;&gt;'WK-Vorlagen'!$C$82),"",IF(ISERROR(MATCH(VALUE(MID(H251,1,2)),Schwierigkeitsstufen!$G$7:$G$19,0)),"Gerät falsch",LOOKUP(VALUE(MID(H251,1,2)),Schwierigkeitsstufen!$G$7:$G$19,Schwierigkeitsstufen!$H$7:$H$19)))</f>
        <v/>
      </c>
      <c r="AC251" s="250" t="str">
        <f>IF((($A251="")*($B251=""))+((MID($Y251,1,4)&lt;&gt;"Wahl")*(Deckblatt!$C$14='WK-Vorlagen'!$C$82))+(Deckblatt!$C$14&lt;&gt;'WK-Vorlagen'!$C$82),"",IF(ISERROR(MATCH(VALUE(MID(I251,1,2)),Schwierigkeitsstufen!$G$7:$G$19,0)),"Gerät falsch",LOOKUP(VALUE(MID(I251,1,2)),Schwierigkeitsstufen!$G$7:$G$19,Schwierigkeitsstufen!$H$7:$H$19)))</f>
        <v/>
      </c>
      <c r="AD251" s="251" t="str">
        <f>IF((($A251="")*($B251=""))+((MID($Y251,1,4)&lt;&gt;"Wahl")*(Deckblatt!$C$14='WK-Vorlagen'!$C$82))+(Deckblatt!$C$14&lt;&gt;'WK-Vorlagen'!$C$82),"",IF(ISERROR(MATCH(VALUE(MID(J251,1,2)),Schwierigkeitsstufen!$G$7:$G$19,0)),"Gerät falsch",LOOKUP(VALUE(MID(J251,1,2)),Schwierigkeitsstufen!$G$7:$G$19,Schwierigkeitsstufen!$H$7:$H$19)))</f>
        <v/>
      </c>
      <c r="AE251" s="211"/>
      <c r="AG251" s="221" t="str">
        <f t="shared" si="27"/>
        <v/>
      </c>
      <c r="AH251" s="222" t="str">
        <f t="shared" si="29"/>
        <v/>
      </c>
      <c r="AI251" s="220">
        <f t="shared" si="34"/>
        <v>4</v>
      </c>
      <c r="AJ251" s="222">
        <f t="shared" si="30"/>
        <v>0</v>
      </c>
      <c r="AK251" s="299" t="str">
        <f>IF(ISERROR(LOOKUP(E251,WKNrListe,Übersicht!$R$7:$R$46)),"-",LOOKUP(E251,WKNrListe,Übersicht!$R$7:$R$46))</f>
        <v>-</v>
      </c>
      <c r="AL251" s="299" t="str">
        <f t="shared" si="33"/>
        <v>-</v>
      </c>
      <c r="AM251" s="303"/>
      <c r="AN251" s="174" t="str">
        <f t="shared" si="35"/>
        <v>Leer</v>
      </c>
    </row>
    <row r="252" spans="1:40" s="174" customFormat="1" ht="15" customHeight="1">
      <c r="A252" s="63"/>
      <c r="B252" s="63"/>
      <c r="C252" s="84"/>
      <c r="D252" s="85"/>
      <c r="E252" s="62"/>
      <c r="F252" s="62"/>
      <c r="G252" s="62"/>
      <c r="H252" s="62"/>
      <c r="I252" s="62"/>
      <c r="J252" s="62"/>
      <c r="K252" s="62"/>
      <c r="L252" s="62"/>
      <c r="M252" s="62"/>
      <c r="N252" s="62"/>
      <c r="O252" s="62"/>
      <c r="P252" s="62"/>
      <c r="Q252" s="62"/>
      <c r="R252" s="62"/>
      <c r="S252" s="258"/>
      <c r="T252" s="248" t="str">
        <f t="shared" si="31"/>
        <v/>
      </c>
      <c r="U252" s="249" t="str">
        <f t="shared" si="32"/>
        <v/>
      </c>
      <c r="V252" s="294" t="str">
        <f t="shared" si="28"/>
        <v/>
      </c>
      <c r="W252" s="294" t="str">
        <f>IF(((E252="")+(F252="")),"",IF(VLOOKUP(F252,Mannschaften!$A$1:$B$54,2,FALSE)&lt;&gt;E252,"Reiter Mannschaften füllen",""))</f>
        <v/>
      </c>
      <c r="X252" s="248" t="str">
        <f>IF(ISBLANK(C252),"",IF((U252&gt;(LOOKUP(E252,WKNrListe,Übersicht!$O$7:$O$46)))+(U252&lt;(LOOKUP(E252,WKNrListe,Übersicht!$P$7:$P$46))),"JG falsch",""))</f>
        <v/>
      </c>
      <c r="Y252" s="255" t="str">
        <f>IF((A252="")*(B252=""),"",IF(ISERROR(MATCH(E252,WKNrListe,0)),"WK falsch",LOOKUP(E252,WKNrListe,Übersicht!$B$7:$B$46)))</f>
        <v/>
      </c>
      <c r="Z252" s="269" t="str">
        <f>IF(((AJ252=0)*(AH252&lt;&gt;"")*(AK252="-"))+((AJ252&lt;&gt;0)*(AH252&lt;&gt;"")*(AK252="-")),IF(AG252="X",Übersicht!$C$70,Übersicht!$C$69),"-")</f>
        <v>-</v>
      </c>
      <c r="AA252" s="252" t="str">
        <f>IF((($A252="")*($B252=""))+((MID($Y252,1,4)&lt;&gt;"Wahl")*(Deckblatt!$C$14='WK-Vorlagen'!$C$82))+(Deckblatt!$C$14&lt;&gt;'WK-Vorlagen'!$C$82),"",IF(ISERROR(MATCH(VALUE(MID(G252,1,2)),Schwierigkeitsstufen!$G$7:$G$19,0)),"Gerät falsch",LOOKUP(VALUE(MID(G252,1,2)),Schwierigkeitsstufen!$G$7:$G$19,Schwierigkeitsstufen!$H$7:$H$19)))</f>
        <v/>
      </c>
      <c r="AB252" s="250" t="str">
        <f>IF((($A252="")*($B252=""))+((MID($Y252,1,4)&lt;&gt;"Wahl")*(Deckblatt!$C$14='WK-Vorlagen'!$C$82))+(Deckblatt!$C$14&lt;&gt;'WK-Vorlagen'!$C$82),"",IF(ISERROR(MATCH(VALUE(MID(H252,1,2)),Schwierigkeitsstufen!$G$7:$G$19,0)),"Gerät falsch",LOOKUP(VALUE(MID(H252,1,2)),Schwierigkeitsstufen!$G$7:$G$19,Schwierigkeitsstufen!$H$7:$H$19)))</f>
        <v/>
      </c>
      <c r="AC252" s="250" t="str">
        <f>IF((($A252="")*($B252=""))+((MID($Y252,1,4)&lt;&gt;"Wahl")*(Deckblatt!$C$14='WK-Vorlagen'!$C$82))+(Deckblatt!$C$14&lt;&gt;'WK-Vorlagen'!$C$82),"",IF(ISERROR(MATCH(VALUE(MID(I252,1,2)),Schwierigkeitsstufen!$G$7:$G$19,0)),"Gerät falsch",LOOKUP(VALUE(MID(I252,1,2)),Schwierigkeitsstufen!$G$7:$G$19,Schwierigkeitsstufen!$H$7:$H$19)))</f>
        <v/>
      </c>
      <c r="AD252" s="251" t="str">
        <f>IF((($A252="")*($B252=""))+((MID($Y252,1,4)&lt;&gt;"Wahl")*(Deckblatt!$C$14='WK-Vorlagen'!$C$82))+(Deckblatt!$C$14&lt;&gt;'WK-Vorlagen'!$C$82),"",IF(ISERROR(MATCH(VALUE(MID(J252,1,2)),Schwierigkeitsstufen!$G$7:$G$19,0)),"Gerät falsch",LOOKUP(VALUE(MID(J252,1,2)),Schwierigkeitsstufen!$G$7:$G$19,Schwierigkeitsstufen!$H$7:$H$19)))</f>
        <v/>
      </c>
      <c r="AE252" s="211"/>
      <c r="AG252" s="221" t="str">
        <f t="shared" si="27"/>
        <v/>
      </c>
      <c r="AH252" s="222" t="str">
        <f t="shared" si="29"/>
        <v/>
      </c>
      <c r="AI252" s="220">
        <f t="shared" si="34"/>
        <v>4</v>
      </c>
      <c r="AJ252" s="222">
        <f t="shared" si="30"/>
        <v>0</v>
      </c>
      <c r="AK252" s="299" t="str">
        <f>IF(ISERROR(LOOKUP(E252,WKNrListe,Übersicht!$R$7:$R$46)),"-",LOOKUP(E252,WKNrListe,Übersicht!$R$7:$R$46))</f>
        <v>-</v>
      </c>
      <c r="AL252" s="299" t="str">
        <f t="shared" si="33"/>
        <v>-</v>
      </c>
      <c r="AM252" s="303"/>
      <c r="AN252" s="174" t="str">
        <f t="shared" si="35"/>
        <v>Leer</v>
      </c>
    </row>
    <row r="253" spans="1:40" s="174" customFormat="1" ht="15" customHeight="1">
      <c r="A253" s="63"/>
      <c r="B253" s="63"/>
      <c r="C253" s="84"/>
      <c r="D253" s="85"/>
      <c r="E253" s="62"/>
      <c r="F253" s="62"/>
      <c r="G253" s="62"/>
      <c r="H253" s="62"/>
      <c r="I253" s="62"/>
      <c r="J253" s="62"/>
      <c r="K253" s="62"/>
      <c r="L253" s="62"/>
      <c r="M253" s="62"/>
      <c r="N253" s="62"/>
      <c r="O253" s="62"/>
      <c r="P253" s="62"/>
      <c r="Q253" s="62"/>
      <c r="R253" s="62"/>
      <c r="S253" s="258"/>
      <c r="T253" s="248" t="str">
        <f t="shared" si="31"/>
        <v/>
      </c>
      <c r="U253" s="249" t="str">
        <f t="shared" si="32"/>
        <v/>
      </c>
      <c r="V253" s="294" t="str">
        <f t="shared" si="28"/>
        <v/>
      </c>
      <c r="W253" s="294" t="str">
        <f>IF(((E253="")+(F253="")),"",IF(VLOOKUP(F253,Mannschaften!$A$1:$B$54,2,FALSE)&lt;&gt;E253,"Reiter Mannschaften füllen",""))</f>
        <v/>
      </c>
      <c r="X253" s="248" t="str">
        <f>IF(ISBLANK(C253),"",IF((U253&gt;(LOOKUP(E253,WKNrListe,Übersicht!$O$7:$O$46)))+(U253&lt;(LOOKUP(E253,WKNrListe,Übersicht!$P$7:$P$46))),"JG falsch",""))</f>
        <v/>
      </c>
      <c r="Y253" s="255" t="str">
        <f>IF((A253="")*(B253=""),"",IF(ISERROR(MATCH(E253,WKNrListe,0)),"WK falsch",LOOKUP(E253,WKNrListe,Übersicht!$B$7:$B$46)))</f>
        <v/>
      </c>
      <c r="Z253" s="269" t="str">
        <f>IF(((AJ253=0)*(AH253&lt;&gt;"")*(AK253="-"))+((AJ253&lt;&gt;0)*(AH253&lt;&gt;"")*(AK253="-")),IF(AG253="X",Übersicht!$C$70,Übersicht!$C$69),"-")</f>
        <v>-</v>
      </c>
      <c r="AA253" s="252" t="str">
        <f>IF((($A253="")*($B253=""))+((MID($Y253,1,4)&lt;&gt;"Wahl")*(Deckblatt!$C$14='WK-Vorlagen'!$C$82))+(Deckblatt!$C$14&lt;&gt;'WK-Vorlagen'!$C$82),"",IF(ISERROR(MATCH(VALUE(MID(G253,1,2)),Schwierigkeitsstufen!$G$7:$G$19,0)),"Gerät falsch",LOOKUP(VALUE(MID(G253,1,2)),Schwierigkeitsstufen!$G$7:$G$19,Schwierigkeitsstufen!$H$7:$H$19)))</f>
        <v/>
      </c>
      <c r="AB253" s="250" t="str">
        <f>IF((($A253="")*($B253=""))+((MID($Y253,1,4)&lt;&gt;"Wahl")*(Deckblatt!$C$14='WK-Vorlagen'!$C$82))+(Deckblatt!$C$14&lt;&gt;'WK-Vorlagen'!$C$82),"",IF(ISERROR(MATCH(VALUE(MID(H253,1,2)),Schwierigkeitsstufen!$G$7:$G$19,0)),"Gerät falsch",LOOKUP(VALUE(MID(H253,1,2)),Schwierigkeitsstufen!$G$7:$G$19,Schwierigkeitsstufen!$H$7:$H$19)))</f>
        <v/>
      </c>
      <c r="AC253" s="250" t="str">
        <f>IF((($A253="")*($B253=""))+((MID($Y253,1,4)&lt;&gt;"Wahl")*(Deckblatt!$C$14='WK-Vorlagen'!$C$82))+(Deckblatt!$C$14&lt;&gt;'WK-Vorlagen'!$C$82),"",IF(ISERROR(MATCH(VALUE(MID(I253,1,2)),Schwierigkeitsstufen!$G$7:$G$19,0)),"Gerät falsch",LOOKUP(VALUE(MID(I253,1,2)),Schwierigkeitsstufen!$G$7:$G$19,Schwierigkeitsstufen!$H$7:$H$19)))</f>
        <v/>
      </c>
      <c r="AD253" s="251" t="str">
        <f>IF((($A253="")*($B253=""))+((MID($Y253,1,4)&lt;&gt;"Wahl")*(Deckblatt!$C$14='WK-Vorlagen'!$C$82))+(Deckblatt!$C$14&lt;&gt;'WK-Vorlagen'!$C$82),"",IF(ISERROR(MATCH(VALUE(MID(J253,1,2)),Schwierigkeitsstufen!$G$7:$G$19,0)),"Gerät falsch",LOOKUP(VALUE(MID(J253,1,2)),Schwierigkeitsstufen!$G$7:$G$19,Schwierigkeitsstufen!$H$7:$H$19)))</f>
        <v/>
      </c>
      <c r="AE253" s="211"/>
      <c r="AG253" s="221" t="str">
        <f t="shared" si="27"/>
        <v/>
      </c>
      <c r="AH253" s="222" t="str">
        <f t="shared" si="29"/>
        <v/>
      </c>
      <c r="AI253" s="220">
        <f t="shared" si="34"/>
        <v>4</v>
      </c>
      <c r="AJ253" s="222">
        <f t="shared" si="30"/>
        <v>0</v>
      </c>
      <c r="AK253" s="299" t="str">
        <f>IF(ISERROR(LOOKUP(E253,WKNrListe,Übersicht!$R$7:$R$46)),"-",LOOKUP(E253,WKNrListe,Übersicht!$R$7:$R$46))</f>
        <v>-</v>
      </c>
      <c r="AL253" s="299" t="str">
        <f t="shared" si="33"/>
        <v>-</v>
      </c>
      <c r="AM253" s="303"/>
      <c r="AN253" s="174" t="str">
        <f t="shared" si="35"/>
        <v>Leer</v>
      </c>
    </row>
    <row r="254" spans="1:40" s="174" customFormat="1" ht="15" customHeight="1">
      <c r="A254" s="63"/>
      <c r="B254" s="63"/>
      <c r="C254" s="84"/>
      <c r="D254" s="85"/>
      <c r="E254" s="62"/>
      <c r="F254" s="62"/>
      <c r="G254" s="62"/>
      <c r="H254" s="62"/>
      <c r="I254" s="62"/>
      <c r="J254" s="62"/>
      <c r="K254" s="62"/>
      <c r="L254" s="62"/>
      <c r="M254" s="62"/>
      <c r="N254" s="62"/>
      <c r="O254" s="62"/>
      <c r="P254" s="62"/>
      <c r="Q254" s="62"/>
      <c r="R254" s="62"/>
      <c r="S254" s="258"/>
      <c r="T254" s="248" t="str">
        <f t="shared" si="31"/>
        <v/>
      </c>
      <c r="U254" s="249" t="str">
        <f t="shared" si="32"/>
        <v/>
      </c>
      <c r="V254" s="294" t="str">
        <f t="shared" si="28"/>
        <v/>
      </c>
      <c r="W254" s="294" t="str">
        <f>IF(((E254="")+(F254="")),"",IF(VLOOKUP(F254,Mannschaften!$A$1:$B$54,2,FALSE)&lt;&gt;E254,"Reiter Mannschaften füllen",""))</f>
        <v/>
      </c>
      <c r="X254" s="248" t="str">
        <f>IF(ISBLANK(C254),"",IF((U254&gt;(LOOKUP(E254,WKNrListe,Übersicht!$O$7:$O$46)))+(U254&lt;(LOOKUP(E254,WKNrListe,Übersicht!$P$7:$P$46))),"JG falsch",""))</f>
        <v/>
      </c>
      <c r="Y254" s="255" t="str">
        <f>IF((A254="")*(B254=""),"",IF(ISERROR(MATCH(E254,WKNrListe,0)),"WK falsch",LOOKUP(E254,WKNrListe,Übersicht!$B$7:$B$46)))</f>
        <v/>
      </c>
      <c r="Z254" s="269" t="str">
        <f>IF(((AJ254=0)*(AH254&lt;&gt;"")*(AK254="-"))+((AJ254&lt;&gt;0)*(AH254&lt;&gt;"")*(AK254="-")),IF(AG254="X",Übersicht!$C$70,Übersicht!$C$69),"-")</f>
        <v>-</v>
      </c>
      <c r="AA254" s="252" t="str">
        <f>IF((($A254="")*($B254=""))+((MID($Y254,1,4)&lt;&gt;"Wahl")*(Deckblatt!$C$14='WK-Vorlagen'!$C$82))+(Deckblatt!$C$14&lt;&gt;'WK-Vorlagen'!$C$82),"",IF(ISERROR(MATCH(VALUE(MID(G254,1,2)),Schwierigkeitsstufen!$G$7:$G$19,0)),"Gerät falsch",LOOKUP(VALUE(MID(G254,1,2)),Schwierigkeitsstufen!$G$7:$G$19,Schwierigkeitsstufen!$H$7:$H$19)))</f>
        <v/>
      </c>
      <c r="AB254" s="250" t="str">
        <f>IF((($A254="")*($B254=""))+((MID($Y254,1,4)&lt;&gt;"Wahl")*(Deckblatt!$C$14='WK-Vorlagen'!$C$82))+(Deckblatt!$C$14&lt;&gt;'WK-Vorlagen'!$C$82),"",IF(ISERROR(MATCH(VALUE(MID(H254,1,2)),Schwierigkeitsstufen!$G$7:$G$19,0)),"Gerät falsch",LOOKUP(VALUE(MID(H254,1,2)),Schwierigkeitsstufen!$G$7:$G$19,Schwierigkeitsstufen!$H$7:$H$19)))</f>
        <v/>
      </c>
      <c r="AC254" s="250" t="str">
        <f>IF((($A254="")*($B254=""))+((MID($Y254,1,4)&lt;&gt;"Wahl")*(Deckblatt!$C$14='WK-Vorlagen'!$C$82))+(Deckblatt!$C$14&lt;&gt;'WK-Vorlagen'!$C$82),"",IF(ISERROR(MATCH(VALUE(MID(I254,1,2)),Schwierigkeitsstufen!$G$7:$G$19,0)),"Gerät falsch",LOOKUP(VALUE(MID(I254,1,2)),Schwierigkeitsstufen!$G$7:$G$19,Schwierigkeitsstufen!$H$7:$H$19)))</f>
        <v/>
      </c>
      <c r="AD254" s="251" t="str">
        <f>IF((($A254="")*($B254=""))+((MID($Y254,1,4)&lt;&gt;"Wahl")*(Deckblatt!$C$14='WK-Vorlagen'!$C$82))+(Deckblatt!$C$14&lt;&gt;'WK-Vorlagen'!$C$82),"",IF(ISERROR(MATCH(VALUE(MID(J254,1,2)),Schwierigkeitsstufen!$G$7:$G$19,0)),"Gerät falsch",LOOKUP(VALUE(MID(J254,1,2)),Schwierigkeitsstufen!$G$7:$G$19,Schwierigkeitsstufen!$H$7:$H$19)))</f>
        <v/>
      </c>
      <c r="AE254" s="211"/>
      <c r="AG254" s="221" t="str">
        <f t="shared" si="27"/>
        <v/>
      </c>
      <c r="AH254" s="222" t="str">
        <f t="shared" si="29"/>
        <v/>
      </c>
      <c r="AI254" s="220">
        <f t="shared" si="34"/>
        <v>4</v>
      </c>
      <c r="AJ254" s="222">
        <f t="shared" si="30"/>
        <v>0</v>
      </c>
      <c r="AK254" s="299" t="str">
        <f>IF(ISERROR(LOOKUP(E254,WKNrListe,Übersicht!$R$7:$R$46)),"-",LOOKUP(E254,WKNrListe,Übersicht!$R$7:$R$46))</f>
        <v>-</v>
      </c>
      <c r="AL254" s="299" t="str">
        <f t="shared" si="33"/>
        <v>-</v>
      </c>
      <c r="AM254" s="303"/>
      <c r="AN254" s="174" t="str">
        <f t="shared" si="35"/>
        <v>Leer</v>
      </c>
    </row>
    <row r="255" spans="1:40" s="174" customFormat="1" ht="15" customHeight="1">
      <c r="A255" s="63"/>
      <c r="B255" s="63"/>
      <c r="C255" s="84"/>
      <c r="D255" s="85"/>
      <c r="E255" s="62"/>
      <c r="F255" s="62"/>
      <c r="G255" s="62"/>
      <c r="H255" s="62"/>
      <c r="I255" s="62"/>
      <c r="J255" s="62"/>
      <c r="K255" s="62"/>
      <c r="L255" s="62"/>
      <c r="M255" s="62"/>
      <c r="N255" s="62"/>
      <c r="O255" s="62"/>
      <c r="P255" s="62"/>
      <c r="Q255" s="62"/>
      <c r="R255" s="62"/>
      <c r="S255" s="258"/>
      <c r="T255" s="248" t="str">
        <f t="shared" si="31"/>
        <v/>
      </c>
      <c r="U255" s="249" t="str">
        <f t="shared" si="32"/>
        <v/>
      </c>
      <c r="V255" s="294" t="str">
        <f t="shared" si="28"/>
        <v/>
      </c>
      <c r="W255" s="294" t="str">
        <f>IF(((E255="")+(F255="")),"",IF(VLOOKUP(F255,Mannschaften!$A$1:$B$54,2,FALSE)&lt;&gt;E255,"Reiter Mannschaften füllen",""))</f>
        <v/>
      </c>
      <c r="X255" s="248" t="str">
        <f>IF(ISBLANK(C255),"",IF((U255&gt;(LOOKUP(E255,WKNrListe,Übersicht!$O$7:$O$46)))+(U255&lt;(LOOKUP(E255,WKNrListe,Übersicht!$P$7:$P$46))),"JG falsch",""))</f>
        <v/>
      </c>
      <c r="Y255" s="255" t="str">
        <f>IF((A255="")*(B255=""),"",IF(ISERROR(MATCH(E255,WKNrListe,0)),"WK falsch",LOOKUP(E255,WKNrListe,Übersicht!$B$7:$B$46)))</f>
        <v/>
      </c>
      <c r="Z255" s="269" t="str">
        <f>IF(((AJ255=0)*(AH255&lt;&gt;"")*(AK255="-"))+((AJ255&lt;&gt;0)*(AH255&lt;&gt;"")*(AK255="-")),IF(AG255="X",Übersicht!$C$70,Übersicht!$C$69),"-")</f>
        <v>-</v>
      </c>
      <c r="AA255" s="252" t="str">
        <f>IF((($A255="")*($B255=""))+((MID($Y255,1,4)&lt;&gt;"Wahl")*(Deckblatt!$C$14='WK-Vorlagen'!$C$82))+(Deckblatt!$C$14&lt;&gt;'WK-Vorlagen'!$C$82),"",IF(ISERROR(MATCH(VALUE(MID(G255,1,2)),Schwierigkeitsstufen!$G$7:$G$19,0)),"Gerät falsch",LOOKUP(VALUE(MID(G255,1,2)),Schwierigkeitsstufen!$G$7:$G$19,Schwierigkeitsstufen!$H$7:$H$19)))</f>
        <v/>
      </c>
      <c r="AB255" s="250" t="str">
        <f>IF((($A255="")*($B255=""))+((MID($Y255,1,4)&lt;&gt;"Wahl")*(Deckblatt!$C$14='WK-Vorlagen'!$C$82))+(Deckblatt!$C$14&lt;&gt;'WK-Vorlagen'!$C$82),"",IF(ISERROR(MATCH(VALUE(MID(H255,1,2)),Schwierigkeitsstufen!$G$7:$G$19,0)),"Gerät falsch",LOOKUP(VALUE(MID(H255,1,2)),Schwierigkeitsstufen!$G$7:$G$19,Schwierigkeitsstufen!$H$7:$H$19)))</f>
        <v/>
      </c>
      <c r="AC255" s="250" t="str">
        <f>IF((($A255="")*($B255=""))+((MID($Y255,1,4)&lt;&gt;"Wahl")*(Deckblatt!$C$14='WK-Vorlagen'!$C$82))+(Deckblatt!$C$14&lt;&gt;'WK-Vorlagen'!$C$82),"",IF(ISERROR(MATCH(VALUE(MID(I255,1,2)),Schwierigkeitsstufen!$G$7:$G$19,0)),"Gerät falsch",LOOKUP(VALUE(MID(I255,1,2)),Schwierigkeitsstufen!$G$7:$G$19,Schwierigkeitsstufen!$H$7:$H$19)))</f>
        <v/>
      </c>
      <c r="AD255" s="251" t="str">
        <f>IF((($A255="")*($B255=""))+((MID($Y255,1,4)&lt;&gt;"Wahl")*(Deckblatt!$C$14='WK-Vorlagen'!$C$82))+(Deckblatt!$C$14&lt;&gt;'WK-Vorlagen'!$C$82),"",IF(ISERROR(MATCH(VALUE(MID(J255,1,2)),Schwierigkeitsstufen!$G$7:$G$19,0)),"Gerät falsch",LOOKUP(VALUE(MID(J255,1,2)),Schwierigkeitsstufen!$G$7:$G$19,Schwierigkeitsstufen!$H$7:$H$19)))</f>
        <v/>
      </c>
      <c r="AE255" s="211"/>
      <c r="AG255" s="221" t="str">
        <f t="shared" si="27"/>
        <v/>
      </c>
      <c r="AH255" s="222" t="str">
        <f t="shared" si="29"/>
        <v/>
      </c>
      <c r="AI255" s="220">
        <f t="shared" si="34"/>
        <v>4</v>
      </c>
      <c r="AJ255" s="222">
        <f t="shared" si="30"/>
        <v>0</v>
      </c>
      <c r="AK255" s="299" t="str">
        <f>IF(ISERROR(LOOKUP(E255,WKNrListe,Übersicht!$R$7:$R$46)),"-",LOOKUP(E255,WKNrListe,Übersicht!$R$7:$R$46))</f>
        <v>-</v>
      </c>
      <c r="AL255" s="299" t="str">
        <f t="shared" si="33"/>
        <v>-</v>
      </c>
      <c r="AM255" s="303"/>
      <c r="AN255" s="174" t="str">
        <f t="shared" si="35"/>
        <v>Leer</v>
      </c>
    </row>
    <row r="256" spans="1:40" s="174" customFormat="1" ht="15" customHeight="1">
      <c r="A256" s="63"/>
      <c r="B256" s="63"/>
      <c r="C256" s="84"/>
      <c r="D256" s="85"/>
      <c r="E256" s="62"/>
      <c r="F256" s="62"/>
      <c r="G256" s="62"/>
      <c r="H256" s="62"/>
      <c r="I256" s="62"/>
      <c r="J256" s="62"/>
      <c r="K256" s="62"/>
      <c r="L256" s="62"/>
      <c r="M256" s="62"/>
      <c r="N256" s="62"/>
      <c r="O256" s="62"/>
      <c r="P256" s="62"/>
      <c r="Q256" s="62"/>
      <c r="R256" s="62"/>
      <c r="S256" s="258"/>
      <c r="T256" s="248" t="str">
        <f t="shared" si="31"/>
        <v/>
      </c>
      <c r="U256" s="249" t="str">
        <f t="shared" si="32"/>
        <v/>
      </c>
      <c r="V256" s="294" t="str">
        <f t="shared" si="28"/>
        <v/>
      </c>
      <c r="W256" s="294" t="str">
        <f>IF(((E256="")+(F256="")),"",IF(VLOOKUP(F256,Mannschaften!$A$1:$B$54,2,FALSE)&lt;&gt;E256,"Reiter Mannschaften füllen",""))</f>
        <v/>
      </c>
      <c r="X256" s="248" t="str">
        <f>IF(ISBLANK(C256),"",IF((U256&gt;(LOOKUP(E256,WKNrListe,Übersicht!$O$7:$O$46)))+(U256&lt;(LOOKUP(E256,WKNrListe,Übersicht!$P$7:$P$46))),"JG falsch",""))</f>
        <v/>
      </c>
      <c r="Y256" s="255" t="str">
        <f>IF((A256="")*(B256=""),"",IF(ISERROR(MATCH(E256,WKNrListe,0)),"WK falsch",LOOKUP(E256,WKNrListe,Übersicht!$B$7:$B$46)))</f>
        <v/>
      </c>
      <c r="Z256" s="269" t="str">
        <f>IF(((AJ256=0)*(AH256&lt;&gt;"")*(AK256="-"))+((AJ256&lt;&gt;0)*(AH256&lt;&gt;"")*(AK256="-")),IF(AG256="X",Übersicht!$C$70,Übersicht!$C$69),"-")</f>
        <v>-</v>
      </c>
      <c r="AA256" s="252" t="str">
        <f>IF((($A256="")*($B256=""))+((MID($Y256,1,4)&lt;&gt;"Wahl")*(Deckblatt!$C$14='WK-Vorlagen'!$C$82))+(Deckblatt!$C$14&lt;&gt;'WK-Vorlagen'!$C$82),"",IF(ISERROR(MATCH(VALUE(MID(G256,1,2)),Schwierigkeitsstufen!$G$7:$G$19,0)),"Gerät falsch",LOOKUP(VALUE(MID(G256,1,2)),Schwierigkeitsstufen!$G$7:$G$19,Schwierigkeitsstufen!$H$7:$H$19)))</f>
        <v/>
      </c>
      <c r="AB256" s="250" t="str">
        <f>IF((($A256="")*($B256=""))+((MID($Y256,1,4)&lt;&gt;"Wahl")*(Deckblatt!$C$14='WK-Vorlagen'!$C$82))+(Deckblatt!$C$14&lt;&gt;'WK-Vorlagen'!$C$82),"",IF(ISERROR(MATCH(VALUE(MID(H256,1,2)),Schwierigkeitsstufen!$G$7:$G$19,0)),"Gerät falsch",LOOKUP(VALUE(MID(H256,1,2)),Schwierigkeitsstufen!$G$7:$G$19,Schwierigkeitsstufen!$H$7:$H$19)))</f>
        <v/>
      </c>
      <c r="AC256" s="250" t="str">
        <f>IF((($A256="")*($B256=""))+((MID($Y256,1,4)&lt;&gt;"Wahl")*(Deckblatt!$C$14='WK-Vorlagen'!$C$82))+(Deckblatt!$C$14&lt;&gt;'WK-Vorlagen'!$C$82),"",IF(ISERROR(MATCH(VALUE(MID(I256,1,2)),Schwierigkeitsstufen!$G$7:$G$19,0)),"Gerät falsch",LOOKUP(VALUE(MID(I256,1,2)),Schwierigkeitsstufen!$G$7:$G$19,Schwierigkeitsstufen!$H$7:$H$19)))</f>
        <v/>
      </c>
      <c r="AD256" s="251" t="str">
        <f>IF((($A256="")*($B256=""))+((MID($Y256,1,4)&lt;&gt;"Wahl")*(Deckblatt!$C$14='WK-Vorlagen'!$C$82))+(Deckblatt!$C$14&lt;&gt;'WK-Vorlagen'!$C$82),"",IF(ISERROR(MATCH(VALUE(MID(J256,1,2)),Schwierigkeitsstufen!$G$7:$G$19,0)),"Gerät falsch",LOOKUP(VALUE(MID(J256,1,2)),Schwierigkeitsstufen!$G$7:$G$19,Schwierigkeitsstufen!$H$7:$H$19)))</f>
        <v/>
      </c>
      <c r="AE256" s="211"/>
      <c r="AG256" s="221" t="str">
        <f t="shared" si="27"/>
        <v/>
      </c>
      <c r="AH256" s="222" t="str">
        <f t="shared" si="29"/>
        <v/>
      </c>
      <c r="AI256" s="220">
        <f t="shared" si="34"/>
        <v>4</v>
      </c>
      <c r="AJ256" s="222">
        <f t="shared" si="30"/>
        <v>0</v>
      </c>
      <c r="AK256" s="299" t="str">
        <f>IF(ISERROR(LOOKUP(E256,WKNrListe,Übersicht!$R$7:$R$46)),"-",LOOKUP(E256,WKNrListe,Übersicht!$R$7:$R$46))</f>
        <v>-</v>
      </c>
      <c r="AL256" s="299" t="str">
        <f t="shared" si="33"/>
        <v>-</v>
      </c>
      <c r="AM256" s="303"/>
      <c r="AN256" s="174" t="str">
        <f t="shared" si="35"/>
        <v>Leer</v>
      </c>
    </row>
    <row r="257" spans="1:40" s="174" customFormat="1" ht="15" customHeight="1">
      <c r="A257" s="63"/>
      <c r="B257" s="63"/>
      <c r="C257" s="84"/>
      <c r="D257" s="85"/>
      <c r="E257" s="62"/>
      <c r="F257" s="62"/>
      <c r="G257" s="62"/>
      <c r="H257" s="62"/>
      <c r="I257" s="62"/>
      <c r="J257" s="62"/>
      <c r="K257" s="62"/>
      <c r="L257" s="62"/>
      <c r="M257" s="62"/>
      <c r="N257" s="62"/>
      <c r="O257" s="62"/>
      <c r="P257" s="62"/>
      <c r="Q257" s="62"/>
      <c r="R257" s="62"/>
      <c r="S257" s="258"/>
      <c r="T257" s="248" t="str">
        <f t="shared" si="31"/>
        <v/>
      </c>
      <c r="U257" s="249" t="str">
        <f t="shared" si="32"/>
        <v/>
      </c>
      <c r="V257" s="294" t="str">
        <f t="shared" si="28"/>
        <v/>
      </c>
      <c r="W257" s="294" t="str">
        <f>IF(((E257="")+(F257="")),"",IF(VLOOKUP(F257,Mannschaften!$A$1:$B$54,2,FALSE)&lt;&gt;E257,"Reiter Mannschaften füllen",""))</f>
        <v/>
      </c>
      <c r="X257" s="248" t="str">
        <f>IF(ISBLANK(C257),"",IF((U257&gt;(LOOKUP(E257,WKNrListe,Übersicht!$O$7:$O$46)))+(U257&lt;(LOOKUP(E257,WKNrListe,Übersicht!$P$7:$P$46))),"JG falsch",""))</f>
        <v/>
      </c>
      <c r="Y257" s="255" t="str">
        <f>IF((A257="")*(B257=""),"",IF(ISERROR(MATCH(E257,WKNrListe,0)),"WK falsch",LOOKUP(E257,WKNrListe,Übersicht!$B$7:$B$46)))</f>
        <v/>
      </c>
      <c r="Z257" s="269" t="str">
        <f>IF(((AJ257=0)*(AH257&lt;&gt;"")*(AK257="-"))+((AJ257&lt;&gt;0)*(AH257&lt;&gt;"")*(AK257="-")),IF(AG257="X",Übersicht!$C$70,Übersicht!$C$69),"-")</f>
        <v>-</v>
      </c>
      <c r="AA257" s="252" t="str">
        <f>IF((($A257="")*($B257=""))+((MID($Y257,1,4)&lt;&gt;"Wahl")*(Deckblatt!$C$14='WK-Vorlagen'!$C$82))+(Deckblatt!$C$14&lt;&gt;'WK-Vorlagen'!$C$82),"",IF(ISERROR(MATCH(VALUE(MID(G257,1,2)),Schwierigkeitsstufen!$G$7:$G$19,0)),"Gerät falsch",LOOKUP(VALUE(MID(G257,1,2)),Schwierigkeitsstufen!$G$7:$G$19,Schwierigkeitsstufen!$H$7:$H$19)))</f>
        <v/>
      </c>
      <c r="AB257" s="250" t="str">
        <f>IF((($A257="")*($B257=""))+((MID($Y257,1,4)&lt;&gt;"Wahl")*(Deckblatt!$C$14='WK-Vorlagen'!$C$82))+(Deckblatt!$C$14&lt;&gt;'WK-Vorlagen'!$C$82),"",IF(ISERROR(MATCH(VALUE(MID(H257,1,2)),Schwierigkeitsstufen!$G$7:$G$19,0)),"Gerät falsch",LOOKUP(VALUE(MID(H257,1,2)),Schwierigkeitsstufen!$G$7:$G$19,Schwierigkeitsstufen!$H$7:$H$19)))</f>
        <v/>
      </c>
      <c r="AC257" s="250" t="str">
        <f>IF((($A257="")*($B257=""))+((MID($Y257,1,4)&lt;&gt;"Wahl")*(Deckblatt!$C$14='WK-Vorlagen'!$C$82))+(Deckblatt!$C$14&lt;&gt;'WK-Vorlagen'!$C$82),"",IF(ISERROR(MATCH(VALUE(MID(I257,1,2)),Schwierigkeitsstufen!$G$7:$G$19,0)),"Gerät falsch",LOOKUP(VALUE(MID(I257,1,2)),Schwierigkeitsstufen!$G$7:$G$19,Schwierigkeitsstufen!$H$7:$H$19)))</f>
        <v/>
      </c>
      <c r="AD257" s="251" t="str">
        <f>IF((($A257="")*($B257=""))+((MID($Y257,1,4)&lt;&gt;"Wahl")*(Deckblatt!$C$14='WK-Vorlagen'!$C$82))+(Deckblatt!$C$14&lt;&gt;'WK-Vorlagen'!$C$82),"",IF(ISERROR(MATCH(VALUE(MID(J257,1,2)),Schwierigkeitsstufen!$G$7:$G$19,0)),"Gerät falsch",LOOKUP(VALUE(MID(J257,1,2)),Schwierigkeitsstufen!$G$7:$G$19,Schwierigkeitsstufen!$H$7:$H$19)))</f>
        <v/>
      </c>
      <c r="AE257" s="211"/>
      <c r="AG257" s="221" t="str">
        <f t="shared" si="27"/>
        <v/>
      </c>
      <c r="AH257" s="222" t="str">
        <f t="shared" si="29"/>
        <v/>
      </c>
      <c r="AI257" s="220">
        <f t="shared" si="34"/>
        <v>4</v>
      </c>
      <c r="AJ257" s="222">
        <f t="shared" si="30"/>
        <v>0</v>
      </c>
      <c r="AK257" s="299" t="str">
        <f>IF(ISERROR(LOOKUP(E257,WKNrListe,Übersicht!$R$7:$R$46)),"-",LOOKUP(E257,WKNrListe,Übersicht!$R$7:$R$46))</f>
        <v>-</v>
      </c>
      <c r="AL257" s="299" t="str">
        <f t="shared" si="33"/>
        <v>-</v>
      </c>
      <c r="AM257" s="303"/>
      <c r="AN257" s="174" t="str">
        <f t="shared" si="35"/>
        <v>Leer</v>
      </c>
    </row>
    <row r="258" spans="1:40" s="174" customFormat="1" ht="15" customHeight="1">
      <c r="A258" s="63"/>
      <c r="B258" s="63"/>
      <c r="C258" s="84"/>
      <c r="D258" s="85"/>
      <c r="E258" s="62"/>
      <c r="F258" s="62"/>
      <c r="G258" s="62"/>
      <c r="H258" s="62"/>
      <c r="I258" s="62"/>
      <c r="J258" s="62"/>
      <c r="K258" s="62"/>
      <c r="L258" s="62"/>
      <c r="M258" s="62"/>
      <c r="N258" s="62"/>
      <c r="O258" s="62"/>
      <c r="P258" s="62"/>
      <c r="Q258" s="62"/>
      <c r="R258" s="62"/>
      <c r="S258" s="258"/>
      <c r="T258" s="248" t="str">
        <f t="shared" si="31"/>
        <v/>
      </c>
      <c r="U258" s="249" t="str">
        <f t="shared" si="32"/>
        <v/>
      </c>
      <c r="V258" s="294" t="str">
        <f t="shared" si="28"/>
        <v/>
      </c>
      <c r="W258" s="294" t="str">
        <f>IF(((E258="")+(F258="")),"",IF(VLOOKUP(F258,Mannschaften!$A$1:$B$54,2,FALSE)&lt;&gt;E258,"Reiter Mannschaften füllen",""))</f>
        <v/>
      </c>
      <c r="X258" s="248" t="str">
        <f>IF(ISBLANK(C258),"",IF((U258&gt;(LOOKUP(E258,WKNrListe,Übersicht!$O$7:$O$46)))+(U258&lt;(LOOKUP(E258,WKNrListe,Übersicht!$P$7:$P$46))),"JG falsch",""))</f>
        <v/>
      </c>
      <c r="Y258" s="255" t="str">
        <f>IF((A258="")*(B258=""),"",IF(ISERROR(MATCH(E258,WKNrListe,0)),"WK falsch",LOOKUP(E258,WKNrListe,Übersicht!$B$7:$B$46)))</f>
        <v/>
      </c>
      <c r="Z258" s="269" t="str">
        <f>IF(((AJ258=0)*(AH258&lt;&gt;"")*(AK258="-"))+((AJ258&lt;&gt;0)*(AH258&lt;&gt;"")*(AK258="-")),IF(AG258="X",Übersicht!$C$70,Übersicht!$C$69),"-")</f>
        <v>-</v>
      </c>
      <c r="AA258" s="252" t="str">
        <f>IF((($A258="")*($B258=""))+((MID($Y258,1,4)&lt;&gt;"Wahl")*(Deckblatt!$C$14='WK-Vorlagen'!$C$82))+(Deckblatt!$C$14&lt;&gt;'WK-Vorlagen'!$C$82),"",IF(ISERROR(MATCH(VALUE(MID(G258,1,2)),Schwierigkeitsstufen!$G$7:$G$19,0)),"Gerät falsch",LOOKUP(VALUE(MID(G258,1,2)),Schwierigkeitsstufen!$G$7:$G$19,Schwierigkeitsstufen!$H$7:$H$19)))</f>
        <v/>
      </c>
      <c r="AB258" s="250" t="str">
        <f>IF((($A258="")*($B258=""))+((MID($Y258,1,4)&lt;&gt;"Wahl")*(Deckblatt!$C$14='WK-Vorlagen'!$C$82))+(Deckblatt!$C$14&lt;&gt;'WK-Vorlagen'!$C$82),"",IF(ISERROR(MATCH(VALUE(MID(H258,1,2)),Schwierigkeitsstufen!$G$7:$G$19,0)),"Gerät falsch",LOOKUP(VALUE(MID(H258,1,2)),Schwierigkeitsstufen!$G$7:$G$19,Schwierigkeitsstufen!$H$7:$H$19)))</f>
        <v/>
      </c>
      <c r="AC258" s="250" t="str">
        <f>IF((($A258="")*($B258=""))+((MID($Y258,1,4)&lt;&gt;"Wahl")*(Deckblatt!$C$14='WK-Vorlagen'!$C$82))+(Deckblatt!$C$14&lt;&gt;'WK-Vorlagen'!$C$82),"",IF(ISERROR(MATCH(VALUE(MID(I258,1,2)),Schwierigkeitsstufen!$G$7:$G$19,0)),"Gerät falsch",LOOKUP(VALUE(MID(I258,1,2)),Schwierigkeitsstufen!$G$7:$G$19,Schwierigkeitsstufen!$H$7:$H$19)))</f>
        <v/>
      </c>
      <c r="AD258" s="251" t="str">
        <f>IF((($A258="")*($B258=""))+((MID($Y258,1,4)&lt;&gt;"Wahl")*(Deckblatt!$C$14='WK-Vorlagen'!$C$82))+(Deckblatt!$C$14&lt;&gt;'WK-Vorlagen'!$C$82),"",IF(ISERROR(MATCH(VALUE(MID(J258,1,2)),Schwierigkeitsstufen!$G$7:$G$19,0)),"Gerät falsch",LOOKUP(VALUE(MID(J258,1,2)),Schwierigkeitsstufen!$G$7:$G$19,Schwierigkeitsstufen!$H$7:$H$19)))</f>
        <v/>
      </c>
      <c r="AE258" s="211"/>
      <c r="AG258" s="221" t="str">
        <f t="shared" si="27"/>
        <v/>
      </c>
      <c r="AH258" s="222" t="str">
        <f t="shared" si="29"/>
        <v/>
      </c>
      <c r="AI258" s="220">
        <f t="shared" si="34"/>
        <v>4</v>
      </c>
      <c r="AJ258" s="222">
        <f t="shared" si="30"/>
        <v>0</v>
      </c>
      <c r="AK258" s="299" t="str">
        <f>IF(ISERROR(LOOKUP(E258,WKNrListe,Übersicht!$R$7:$R$46)),"-",LOOKUP(E258,WKNrListe,Übersicht!$R$7:$R$46))</f>
        <v>-</v>
      </c>
      <c r="AL258" s="299" t="str">
        <f t="shared" si="33"/>
        <v>-</v>
      </c>
      <c r="AM258" s="303"/>
      <c r="AN258" s="174" t="str">
        <f t="shared" si="35"/>
        <v>Leer</v>
      </c>
    </row>
    <row r="259" spans="1:40" s="174" customFormat="1" ht="15" customHeight="1">
      <c r="A259" s="63"/>
      <c r="B259" s="63"/>
      <c r="C259" s="84"/>
      <c r="D259" s="85"/>
      <c r="E259" s="62"/>
      <c r="F259" s="62"/>
      <c r="G259" s="62"/>
      <c r="H259" s="62"/>
      <c r="I259" s="62"/>
      <c r="J259" s="62"/>
      <c r="K259" s="62"/>
      <c r="L259" s="62"/>
      <c r="M259" s="62"/>
      <c r="N259" s="62"/>
      <c r="O259" s="62"/>
      <c r="P259" s="62"/>
      <c r="Q259" s="62"/>
      <c r="R259" s="62"/>
      <c r="S259" s="258"/>
      <c r="T259" s="248" t="str">
        <f t="shared" si="31"/>
        <v/>
      </c>
      <c r="U259" s="249" t="str">
        <f t="shared" si="32"/>
        <v/>
      </c>
      <c r="V259" s="294" t="str">
        <f t="shared" si="28"/>
        <v/>
      </c>
      <c r="W259" s="294" t="str">
        <f>IF(((E259="")+(F259="")),"",IF(VLOOKUP(F259,Mannschaften!$A$1:$B$54,2,FALSE)&lt;&gt;E259,"Reiter Mannschaften füllen",""))</f>
        <v/>
      </c>
      <c r="X259" s="248" t="str">
        <f>IF(ISBLANK(C259),"",IF((U259&gt;(LOOKUP(E259,WKNrListe,Übersicht!$O$7:$O$46)))+(U259&lt;(LOOKUP(E259,WKNrListe,Übersicht!$P$7:$P$46))),"JG falsch",""))</f>
        <v/>
      </c>
      <c r="Y259" s="255" t="str">
        <f>IF((A259="")*(B259=""),"",IF(ISERROR(MATCH(E259,WKNrListe,0)),"WK falsch",LOOKUP(E259,WKNrListe,Übersicht!$B$7:$B$46)))</f>
        <v/>
      </c>
      <c r="Z259" s="269" t="str">
        <f>IF(((AJ259=0)*(AH259&lt;&gt;"")*(AK259="-"))+((AJ259&lt;&gt;0)*(AH259&lt;&gt;"")*(AK259="-")),IF(AG259="X",Übersicht!$C$70,Übersicht!$C$69),"-")</f>
        <v>-</v>
      </c>
      <c r="AA259" s="252" t="str">
        <f>IF((($A259="")*($B259=""))+((MID($Y259,1,4)&lt;&gt;"Wahl")*(Deckblatt!$C$14='WK-Vorlagen'!$C$82))+(Deckblatt!$C$14&lt;&gt;'WK-Vorlagen'!$C$82),"",IF(ISERROR(MATCH(VALUE(MID(G259,1,2)),Schwierigkeitsstufen!$G$7:$G$19,0)),"Gerät falsch",LOOKUP(VALUE(MID(G259,1,2)),Schwierigkeitsstufen!$G$7:$G$19,Schwierigkeitsstufen!$H$7:$H$19)))</f>
        <v/>
      </c>
      <c r="AB259" s="250" t="str">
        <f>IF((($A259="")*($B259=""))+((MID($Y259,1,4)&lt;&gt;"Wahl")*(Deckblatt!$C$14='WK-Vorlagen'!$C$82))+(Deckblatt!$C$14&lt;&gt;'WK-Vorlagen'!$C$82),"",IF(ISERROR(MATCH(VALUE(MID(H259,1,2)),Schwierigkeitsstufen!$G$7:$G$19,0)),"Gerät falsch",LOOKUP(VALUE(MID(H259,1,2)),Schwierigkeitsstufen!$G$7:$G$19,Schwierigkeitsstufen!$H$7:$H$19)))</f>
        <v/>
      </c>
      <c r="AC259" s="250" t="str">
        <f>IF((($A259="")*($B259=""))+((MID($Y259,1,4)&lt;&gt;"Wahl")*(Deckblatt!$C$14='WK-Vorlagen'!$C$82))+(Deckblatt!$C$14&lt;&gt;'WK-Vorlagen'!$C$82),"",IF(ISERROR(MATCH(VALUE(MID(I259,1,2)),Schwierigkeitsstufen!$G$7:$G$19,0)),"Gerät falsch",LOOKUP(VALUE(MID(I259,1,2)),Schwierigkeitsstufen!$G$7:$G$19,Schwierigkeitsstufen!$H$7:$H$19)))</f>
        <v/>
      </c>
      <c r="AD259" s="251" t="str">
        <f>IF((($A259="")*($B259=""))+((MID($Y259,1,4)&lt;&gt;"Wahl")*(Deckblatt!$C$14='WK-Vorlagen'!$C$82))+(Deckblatt!$C$14&lt;&gt;'WK-Vorlagen'!$C$82),"",IF(ISERROR(MATCH(VALUE(MID(J259,1,2)),Schwierigkeitsstufen!$G$7:$G$19,0)),"Gerät falsch",LOOKUP(VALUE(MID(J259,1,2)),Schwierigkeitsstufen!$G$7:$G$19,Schwierigkeitsstufen!$H$7:$H$19)))</f>
        <v/>
      </c>
      <c r="AE259" s="211"/>
      <c r="AG259" s="221" t="str">
        <f t="shared" si="27"/>
        <v/>
      </c>
      <c r="AH259" s="222" t="str">
        <f t="shared" si="29"/>
        <v/>
      </c>
      <c r="AI259" s="220">
        <f t="shared" si="34"/>
        <v>4</v>
      </c>
      <c r="AJ259" s="222">
        <f t="shared" si="30"/>
        <v>0</v>
      </c>
      <c r="AK259" s="299" t="str">
        <f>IF(ISERROR(LOOKUP(E259,WKNrListe,Übersicht!$R$7:$R$46)),"-",LOOKUP(E259,WKNrListe,Übersicht!$R$7:$R$46))</f>
        <v>-</v>
      </c>
      <c r="AL259" s="299" t="str">
        <f t="shared" si="33"/>
        <v>-</v>
      </c>
      <c r="AM259" s="303"/>
      <c r="AN259" s="174" t="str">
        <f t="shared" si="35"/>
        <v>Leer</v>
      </c>
    </row>
    <row r="260" spans="1:40" s="174" customFormat="1" ht="15" customHeight="1">
      <c r="A260" s="63"/>
      <c r="B260" s="63"/>
      <c r="C260" s="84"/>
      <c r="D260" s="85"/>
      <c r="E260" s="62"/>
      <c r="F260" s="62"/>
      <c r="G260" s="62"/>
      <c r="H260" s="62"/>
      <c r="I260" s="62"/>
      <c r="J260" s="62"/>
      <c r="K260" s="62"/>
      <c r="L260" s="62"/>
      <c r="M260" s="62"/>
      <c r="N260" s="62"/>
      <c r="O260" s="62"/>
      <c r="P260" s="62"/>
      <c r="Q260" s="62"/>
      <c r="R260" s="62"/>
      <c r="S260" s="258"/>
      <c r="T260" s="248" t="str">
        <f t="shared" si="31"/>
        <v/>
      </c>
      <c r="U260" s="249" t="str">
        <f t="shared" si="32"/>
        <v/>
      </c>
      <c r="V260" s="294" t="str">
        <f t="shared" si="28"/>
        <v/>
      </c>
      <c r="W260" s="294" t="str">
        <f>IF(((E260="")+(F260="")),"",IF(VLOOKUP(F260,Mannschaften!$A$1:$B$54,2,FALSE)&lt;&gt;E260,"Reiter Mannschaften füllen",""))</f>
        <v/>
      </c>
      <c r="X260" s="248" t="str">
        <f>IF(ISBLANK(C260),"",IF((U260&gt;(LOOKUP(E260,WKNrListe,Übersicht!$O$7:$O$46)))+(U260&lt;(LOOKUP(E260,WKNrListe,Übersicht!$P$7:$P$46))),"JG falsch",""))</f>
        <v/>
      </c>
      <c r="Y260" s="255" t="str">
        <f>IF((A260="")*(B260=""),"",IF(ISERROR(MATCH(E260,WKNrListe,0)),"WK falsch",LOOKUP(E260,WKNrListe,Übersicht!$B$7:$B$46)))</f>
        <v/>
      </c>
      <c r="Z260" s="269" t="str">
        <f>IF(((AJ260=0)*(AH260&lt;&gt;"")*(AK260="-"))+((AJ260&lt;&gt;0)*(AH260&lt;&gt;"")*(AK260="-")),IF(AG260="X",Übersicht!$C$70,Übersicht!$C$69),"-")</f>
        <v>-</v>
      </c>
      <c r="AA260" s="252" t="str">
        <f>IF((($A260="")*($B260=""))+((MID($Y260,1,4)&lt;&gt;"Wahl")*(Deckblatt!$C$14='WK-Vorlagen'!$C$82))+(Deckblatt!$C$14&lt;&gt;'WK-Vorlagen'!$C$82),"",IF(ISERROR(MATCH(VALUE(MID(G260,1,2)),Schwierigkeitsstufen!$G$7:$G$19,0)),"Gerät falsch",LOOKUP(VALUE(MID(G260,1,2)),Schwierigkeitsstufen!$G$7:$G$19,Schwierigkeitsstufen!$H$7:$H$19)))</f>
        <v/>
      </c>
      <c r="AB260" s="250" t="str">
        <f>IF((($A260="")*($B260=""))+((MID($Y260,1,4)&lt;&gt;"Wahl")*(Deckblatt!$C$14='WK-Vorlagen'!$C$82))+(Deckblatt!$C$14&lt;&gt;'WK-Vorlagen'!$C$82),"",IF(ISERROR(MATCH(VALUE(MID(H260,1,2)),Schwierigkeitsstufen!$G$7:$G$19,0)),"Gerät falsch",LOOKUP(VALUE(MID(H260,1,2)),Schwierigkeitsstufen!$G$7:$G$19,Schwierigkeitsstufen!$H$7:$H$19)))</f>
        <v/>
      </c>
      <c r="AC260" s="250" t="str">
        <f>IF((($A260="")*($B260=""))+((MID($Y260,1,4)&lt;&gt;"Wahl")*(Deckblatt!$C$14='WK-Vorlagen'!$C$82))+(Deckblatt!$C$14&lt;&gt;'WK-Vorlagen'!$C$82),"",IF(ISERROR(MATCH(VALUE(MID(I260,1,2)),Schwierigkeitsstufen!$G$7:$G$19,0)),"Gerät falsch",LOOKUP(VALUE(MID(I260,1,2)),Schwierigkeitsstufen!$G$7:$G$19,Schwierigkeitsstufen!$H$7:$H$19)))</f>
        <v/>
      </c>
      <c r="AD260" s="251" t="str">
        <f>IF((($A260="")*($B260=""))+((MID($Y260,1,4)&lt;&gt;"Wahl")*(Deckblatt!$C$14='WK-Vorlagen'!$C$82))+(Deckblatt!$C$14&lt;&gt;'WK-Vorlagen'!$C$82),"",IF(ISERROR(MATCH(VALUE(MID(J260,1,2)),Schwierigkeitsstufen!$G$7:$G$19,0)),"Gerät falsch",LOOKUP(VALUE(MID(J260,1,2)),Schwierigkeitsstufen!$G$7:$G$19,Schwierigkeitsstufen!$H$7:$H$19)))</f>
        <v/>
      </c>
      <c r="AE260" s="211"/>
      <c r="AG260" s="221" t="str">
        <f t="shared" ref="AG260:AG323" si="36">IF((C260&lt;&gt;0),IF(((Jahr-U260)&gt;19)*(AJ260=0)*(AK260&lt;&gt;1),"X",IF(((Jahr-U260)&gt;19)*(AJ260=0),"J","-")),"")</f>
        <v/>
      </c>
      <c r="AH260" s="222" t="str">
        <f t="shared" si="29"/>
        <v/>
      </c>
      <c r="AI260" s="220">
        <f t="shared" si="34"/>
        <v>4</v>
      </c>
      <c r="AJ260" s="222">
        <f t="shared" si="30"/>
        <v>0</v>
      </c>
      <c r="AK260" s="299" t="str">
        <f>IF(ISERROR(LOOKUP(E260,WKNrListe,Übersicht!$R$7:$R$46)),"-",LOOKUP(E260,WKNrListe,Übersicht!$R$7:$R$46))</f>
        <v>-</v>
      </c>
      <c r="AL260" s="299" t="str">
        <f t="shared" si="33"/>
        <v>-</v>
      </c>
      <c r="AM260" s="303"/>
      <c r="AN260" s="174" t="str">
        <f t="shared" si="35"/>
        <v>Leer</v>
      </c>
    </row>
    <row r="261" spans="1:40" s="174" customFormat="1" ht="15" customHeight="1">
      <c r="A261" s="63"/>
      <c r="B261" s="63"/>
      <c r="C261" s="84"/>
      <c r="D261" s="85"/>
      <c r="E261" s="62"/>
      <c r="F261" s="62"/>
      <c r="G261" s="62"/>
      <c r="H261" s="62"/>
      <c r="I261" s="62"/>
      <c r="J261" s="62"/>
      <c r="K261" s="62"/>
      <c r="L261" s="62"/>
      <c r="M261" s="62"/>
      <c r="N261" s="62"/>
      <c r="O261" s="62"/>
      <c r="P261" s="62"/>
      <c r="Q261" s="62"/>
      <c r="R261" s="62"/>
      <c r="S261" s="258"/>
      <c r="T261" s="248" t="str">
        <f t="shared" si="31"/>
        <v/>
      </c>
      <c r="U261" s="249" t="str">
        <f t="shared" si="32"/>
        <v/>
      </c>
      <c r="V261" s="294" t="str">
        <f t="shared" ref="V261:V324" si="37">IF(((AK261="-")*(F261=""))+((AK261=1)*(F261&lt;&gt;""))+(Y261="WK falsch"),"",IF((AK261=1)*(F261=""),"Mannsch-Nr fehlt","Mannsch-Nr entf"))</f>
        <v/>
      </c>
      <c r="W261" s="294" t="str">
        <f>IF(((E261="")+(F261="")),"",IF(VLOOKUP(F261,Mannschaften!$A$1:$B$54,2,FALSE)&lt;&gt;E261,"Reiter Mannschaften füllen",""))</f>
        <v/>
      </c>
      <c r="X261" s="248" t="str">
        <f>IF(ISBLANK(C261),"",IF((U261&gt;(LOOKUP(E261,WKNrListe,Übersicht!$O$7:$O$46)))+(U261&lt;(LOOKUP(E261,WKNrListe,Übersicht!$P$7:$P$46))),"JG falsch",""))</f>
        <v/>
      </c>
      <c r="Y261" s="255" t="str">
        <f>IF((A261="")*(B261=""),"",IF(ISERROR(MATCH(E261,WKNrListe,0)),"WK falsch",LOOKUP(E261,WKNrListe,Übersicht!$B$7:$B$46)))</f>
        <v/>
      </c>
      <c r="Z261" s="269" t="str">
        <f>IF(((AJ261=0)*(AH261&lt;&gt;"")*(AK261="-"))+((AJ261&lt;&gt;0)*(AH261&lt;&gt;"")*(AK261="-")),IF(AG261="X",Übersicht!$C$70,Übersicht!$C$69),"-")</f>
        <v>-</v>
      </c>
      <c r="AA261" s="252" t="str">
        <f>IF((($A261="")*($B261=""))+((MID($Y261,1,4)&lt;&gt;"Wahl")*(Deckblatt!$C$14='WK-Vorlagen'!$C$82))+(Deckblatt!$C$14&lt;&gt;'WK-Vorlagen'!$C$82),"",IF(ISERROR(MATCH(VALUE(MID(G261,1,2)),Schwierigkeitsstufen!$G$7:$G$19,0)),"Gerät falsch",LOOKUP(VALUE(MID(G261,1,2)),Schwierigkeitsstufen!$G$7:$G$19,Schwierigkeitsstufen!$H$7:$H$19)))</f>
        <v/>
      </c>
      <c r="AB261" s="250" t="str">
        <f>IF((($A261="")*($B261=""))+((MID($Y261,1,4)&lt;&gt;"Wahl")*(Deckblatt!$C$14='WK-Vorlagen'!$C$82))+(Deckblatt!$C$14&lt;&gt;'WK-Vorlagen'!$C$82),"",IF(ISERROR(MATCH(VALUE(MID(H261,1,2)),Schwierigkeitsstufen!$G$7:$G$19,0)),"Gerät falsch",LOOKUP(VALUE(MID(H261,1,2)),Schwierigkeitsstufen!$G$7:$G$19,Schwierigkeitsstufen!$H$7:$H$19)))</f>
        <v/>
      </c>
      <c r="AC261" s="250" t="str">
        <f>IF((($A261="")*($B261=""))+((MID($Y261,1,4)&lt;&gt;"Wahl")*(Deckblatt!$C$14='WK-Vorlagen'!$C$82))+(Deckblatt!$C$14&lt;&gt;'WK-Vorlagen'!$C$82),"",IF(ISERROR(MATCH(VALUE(MID(I261,1,2)),Schwierigkeitsstufen!$G$7:$G$19,0)),"Gerät falsch",LOOKUP(VALUE(MID(I261,1,2)),Schwierigkeitsstufen!$G$7:$G$19,Schwierigkeitsstufen!$H$7:$H$19)))</f>
        <v/>
      </c>
      <c r="AD261" s="251" t="str">
        <f>IF((($A261="")*($B261=""))+((MID($Y261,1,4)&lt;&gt;"Wahl")*(Deckblatt!$C$14='WK-Vorlagen'!$C$82))+(Deckblatt!$C$14&lt;&gt;'WK-Vorlagen'!$C$82),"",IF(ISERROR(MATCH(VALUE(MID(J261,1,2)),Schwierigkeitsstufen!$G$7:$G$19,0)),"Gerät falsch",LOOKUP(VALUE(MID(J261,1,2)),Schwierigkeitsstufen!$G$7:$G$19,Schwierigkeitsstufen!$H$7:$H$19)))</f>
        <v/>
      </c>
      <c r="AE261" s="211"/>
      <c r="AG261" s="221" t="str">
        <f t="shared" si="36"/>
        <v/>
      </c>
      <c r="AH261" s="222" t="str">
        <f t="shared" ref="AH261:AH324" si="38">CONCATENATE(TRIM(A261),TRIM(B261),TRIM(C261))</f>
        <v/>
      </c>
      <c r="AI261" s="220">
        <f t="shared" si="34"/>
        <v>4</v>
      </c>
      <c r="AJ261" s="222">
        <f t="shared" ref="AJ261:AJ324" si="39">IF(AH261="",0,IF(ROW(AH261)=AI261,0,AI261))</f>
        <v>0</v>
      </c>
      <c r="AK261" s="299" t="str">
        <f>IF(ISERROR(LOOKUP(E261,WKNrListe,Übersicht!$R$7:$R$46)),"-",LOOKUP(E261,WKNrListe,Übersicht!$R$7:$R$46))</f>
        <v>-</v>
      </c>
      <c r="AL261" s="299" t="str">
        <f t="shared" si="33"/>
        <v>-</v>
      </c>
      <c r="AM261" s="303"/>
      <c r="AN261" s="174" t="str">
        <f t="shared" si="35"/>
        <v>Leer</v>
      </c>
    </row>
    <row r="262" spans="1:40" s="174" customFormat="1" ht="15" customHeight="1">
      <c r="A262" s="63"/>
      <c r="B262" s="63"/>
      <c r="C262" s="84"/>
      <c r="D262" s="85"/>
      <c r="E262" s="62"/>
      <c r="F262" s="62"/>
      <c r="G262" s="62"/>
      <c r="H262" s="62"/>
      <c r="I262" s="62"/>
      <c r="J262" s="62"/>
      <c r="K262" s="62"/>
      <c r="L262" s="62"/>
      <c r="M262" s="62"/>
      <c r="N262" s="62"/>
      <c r="O262" s="62"/>
      <c r="P262" s="62"/>
      <c r="Q262" s="62"/>
      <c r="R262" s="62"/>
      <c r="S262" s="258"/>
      <c r="T262" s="248" t="str">
        <f t="shared" ref="T262:T325" si="40">IF(AND(OR(ISTEXT(A262),ISTEXT(B262),NOT(ISBLANK(C262)),NOT(ISBLANK(D262)),NOT(ISBLANK(E262))),OR(ISBLANK(A262),ISBLANK(B262),ISBLANK(C262),ISBLANK(E262))),"unvollständig","")</f>
        <v/>
      </c>
      <c r="U262" s="249" t="str">
        <f t="shared" ref="U262:U325" si="41">IF(ISBLANK(C262),"",YEAR(C262))</f>
        <v/>
      </c>
      <c r="V262" s="294" t="str">
        <f t="shared" si="37"/>
        <v/>
      </c>
      <c r="W262" s="294" t="str">
        <f>IF(((E262="")+(F262="")),"",IF(VLOOKUP(F262,Mannschaften!$A$1:$B$54,2,FALSE)&lt;&gt;E262,"Reiter Mannschaften füllen",""))</f>
        <v/>
      </c>
      <c r="X262" s="248" t="str">
        <f>IF(ISBLANK(C262),"",IF((U262&gt;(LOOKUP(E262,WKNrListe,Übersicht!$O$7:$O$46)))+(U262&lt;(LOOKUP(E262,WKNrListe,Übersicht!$P$7:$P$46))),"JG falsch",""))</f>
        <v/>
      </c>
      <c r="Y262" s="255" t="str">
        <f>IF((A262="")*(B262=""),"",IF(ISERROR(MATCH(E262,WKNrListe,0)),"WK falsch",LOOKUP(E262,WKNrListe,Übersicht!$B$7:$B$46)))</f>
        <v/>
      </c>
      <c r="Z262" s="269" t="str">
        <f>IF(((AJ262=0)*(AH262&lt;&gt;"")*(AK262="-"))+((AJ262&lt;&gt;0)*(AH262&lt;&gt;"")*(AK262="-")),IF(AG262="X",Übersicht!$C$70,Übersicht!$C$69),"-")</f>
        <v>-</v>
      </c>
      <c r="AA262" s="252" t="str">
        <f>IF((($A262="")*($B262=""))+((MID($Y262,1,4)&lt;&gt;"Wahl")*(Deckblatt!$C$14='WK-Vorlagen'!$C$82))+(Deckblatt!$C$14&lt;&gt;'WK-Vorlagen'!$C$82),"",IF(ISERROR(MATCH(VALUE(MID(G262,1,2)),Schwierigkeitsstufen!$G$7:$G$19,0)),"Gerät falsch",LOOKUP(VALUE(MID(G262,1,2)),Schwierigkeitsstufen!$G$7:$G$19,Schwierigkeitsstufen!$H$7:$H$19)))</f>
        <v/>
      </c>
      <c r="AB262" s="250" t="str">
        <f>IF((($A262="")*($B262=""))+((MID($Y262,1,4)&lt;&gt;"Wahl")*(Deckblatt!$C$14='WK-Vorlagen'!$C$82))+(Deckblatt!$C$14&lt;&gt;'WK-Vorlagen'!$C$82),"",IF(ISERROR(MATCH(VALUE(MID(H262,1,2)),Schwierigkeitsstufen!$G$7:$G$19,0)),"Gerät falsch",LOOKUP(VALUE(MID(H262,1,2)),Schwierigkeitsstufen!$G$7:$G$19,Schwierigkeitsstufen!$H$7:$H$19)))</f>
        <v/>
      </c>
      <c r="AC262" s="250" t="str">
        <f>IF((($A262="")*($B262=""))+((MID($Y262,1,4)&lt;&gt;"Wahl")*(Deckblatt!$C$14='WK-Vorlagen'!$C$82))+(Deckblatt!$C$14&lt;&gt;'WK-Vorlagen'!$C$82),"",IF(ISERROR(MATCH(VALUE(MID(I262,1,2)),Schwierigkeitsstufen!$G$7:$G$19,0)),"Gerät falsch",LOOKUP(VALUE(MID(I262,1,2)),Schwierigkeitsstufen!$G$7:$G$19,Schwierigkeitsstufen!$H$7:$H$19)))</f>
        <v/>
      </c>
      <c r="AD262" s="251" t="str">
        <f>IF((($A262="")*($B262=""))+((MID($Y262,1,4)&lt;&gt;"Wahl")*(Deckblatt!$C$14='WK-Vorlagen'!$C$82))+(Deckblatt!$C$14&lt;&gt;'WK-Vorlagen'!$C$82),"",IF(ISERROR(MATCH(VALUE(MID(J262,1,2)),Schwierigkeitsstufen!$G$7:$G$19,0)),"Gerät falsch",LOOKUP(VALUE(MID(J262,1,2)),Schwierigkeitsstufen!$G$7:$G$19,Schwierigkeitsstufen!$H$7:$H$19)))</f>
        <v/>
      </c>
      <c r="AE262" s="211"/>
      <c r="AG262" s="221" t="str">
        <f t="shared" si="36"/>
        <v/>
      </c>
      <c r="AH262" s="222" t="str">
        <f t="shared" si="38"/>
        <v/>
      </c>
      <c r="AI262" s="220">
        <f t="shared" si="34"/>
        <v>4</v>
      </c>
      <c r="AJ262" s="222">
        <f t="shared" si="39"/>
        <v>0</v>
      </c>
      <c r="AK262" s="299" t="str">
        <f>IF(ISERROR(LOOKUP(E262,WKNrListe,Übersicht!$R$7:$R$46)),"-",LOOKUP(E262,WKNrListe,Übersicht!$R$7:$R$46))</f>
        <v>-</v>
      </c>
      <c r="AL262" s="299" t="str">
        <f t="shared" ref="AL262:AL325" si="42">IF(E262="","-",E262)</f>
        <v>-</v>
      </c>
      <c r="AM262" s="303"/>
      <c r="AN262" s="174" t="str">
        <f t="shared" si="35"/>
        <v>Leer</v>
      </c>
    </row>
    <row r="263" spans="1:40" s="174" customFormat="1" ht="15" customHeight="1">
      <c r="A263" s="63"/>
      <c r="B263" s="63"/>
      <c r="C263" s="84"/>
      <c r="D263" s="85"/>
      <c r="E263" s="62"/>
      <c r="F263" s="62"/>
      <c r="G263" s="62"/>
      <c r="H263" s="62"/>
      <c r="I263" s="62"/>
      <c r="J263" s="62"/>
      <c r="K263" s="62"/>
      <c r="L263" s="62"/>
      <c r="M263" s="62"/>
      <c r="N263" s="62"/>
      <c r="O263" s="62"/>
      <c r="P263" s="62"/>
      <c r="Q263" s="62"/>
      <c r="R263" s="62"/>
      <c r="S263" s="258"/>
      <c r="T263" s="248" t="str">
        <f t="shared" si="40"/>
        <v/>
      </c>
      <c r="U263" s="249" t="str">
        <f t="shared" si="41"/>
        <v/>
      </c>
      <c r="V263" s="294" t="str">
        <f t="shared" si="37"/>
        <v/>
      </c>
      <c r="W263" s="294" t="str">
        <f>IF(((E263="")+(F263="")),"",IF(VLOOKUP(F263,Mannschaften!$A$1:$B$54,2,FALSE)&lt;&gt;E263,"Reiter Mannschaften füllen",""))</f>
        <v/>
      </c>
      <c r="X263" s="248" t="str">
        <f>IF(ISBLANK(C263),"",IF((U263&gt;(LOOKUP(E263,WKNrListe,Übersicht!$O$7:$O$46)))+(U263&lt;(LOOKUP(E263,WKNrListe,Übersicht!$P$7:$P$46))),"JG falsch",""))</f>
        <v/>
      </c>
      <c r="Y263" s="255" t="str">
        <f>IF((A263="")*(B263=""),"",IF(ISERROR(MATCH(E263,WKNrListe,0)),"WK falsch",LOOKUP(E263,WKNrListe,Übersicht!$B$7:$B$46)))</f>
        <v/>
      </c>
      <c r="Z263" s="269" t="str">
        <f>IF(((AJ263=0)*(AH263&lt;&gt;"")*(AK263="-"))+((AJ263&lt;&gt;0)*(AH263&lt;&gt;"")*(AK263="-")),IF(AG263="X",Übersicht!$C$70,Übersicht!$C$69),"-")</f>
        <v>-</v>
      </c>
      <c r="AA263" s="252" t="str">
        <f>IF((($A263="")*($B263=""))+((MID($Y263,1,4)&lt;&gt;"Wahl")*(Deckblatt!$C$14='WK-Vorlagen'!$C$82))+(Deckblatt!$C$14&lt;&gt;'WK-Vorlagen'!$C$82),"",IF(ISERROR(MATCH(VALUE(MID(G263,1,2)),Schwierigkeitsstufen!$G$7:$G$19,0)),"Gerät falsch",LOOKUP(VALUE(MID(G263,1,2)),Schwierigkeitsstufen!$G$7:$G$19,Schwierigkeitsstufen!$H$7:$H$19)))</f>
        <v/>
      </c>
      <c r="AB263" s="250" t="str">
        <f>IF((($A263="")*($B263=""))+((MID($Y263,1,4)&lt;&gt;"Wahl")*(Deckblatt!$C$14='WK-Vorlagen'!$C$82))+(Deckblatt!$C$14&lt;&gt;'WK-Vorlagen'!$C$82),"",IF(ISERROR(MATCH(VALUE(MID(H263,1,2)),Schwierigkeitsstufen!$G$7:$G$19,0)),"Gerät falsch",LOOKUP(VALUE(MID(H263,1,2)),Schwierigkeitsstufen!$G$7:$G$19,Schwierigkeitsstufen!$H$7:$H$19)))</f>
        <v/>
      </c>
      <c r="AC263" s="250" t="str">
        <f>IF((($A263="")*($B263=""))+((MID($Y263,1,4)&lt;&gt;"Wahl")*(Deckblatt!$C$14='WK-Vorlagen'!$C$82))+(Deckblatt!$C$14&lt;&gt;'WK-Vorlagen'!$C$82),"",IF(ISERROR(MATCH(VALUE(MID(I263,1,2)),Schwierigkeitsstufen!$G$7:$G$19,0)),"Gerät falsch",LOOKUP(VALUE(MID(I263,1,2)),Schwierigkeitsstufen!$G$7:$G$19,Schwierigkeitsstufen!$H$7:$H$19)))</f>
        <v/>
      </c>
      <c r="AD263" s="251" t="str">
        <f>IF((($A263="")*($B263=""))+((MID($Y263,1,4)&lt;&gt;"Wahl")*(Deckblatt!$C$14='WK-Vorlagen'!$C$82))+(Deckblatt!$C$14&lt;&gt;'WK-Vorlagen'!$C$82),"",IF(ISERROR(MATCH(VALUE(MID(J263,1,2)),Schwierigkeitsstufen!$G$7:$G$19,0)),"Gerät falsch",LOOKUP(VALUE(MID(J263,1,2)),Schwierigkeitsstufen!$G$7:$G$19,Schwierigkeitsstufen!$H$7:$H$19)))</f>
        <v/>
      </c>
      <c r="AE263" s="211"/>
      <c r="AG263" s="221" t="str">
        <f t="shared" si="36"/>
        <v/>
      </c>
      <c r="AH263" s="222" t="str">
        <f t="shared" si="38"/>
        <v/>
      </c>
      <c r="AI263" s="220">
        <f t="shared" ref="AI263:AI326" si="43">MATCH(AH263,AH:AH,0)</f>
        <v>4</v>
      </c>
      <c r="AJ263" s="222">
        <f t="shared" si="39"/>
        <v>0</v>
      </c>
      <c r="AK263" s="299" t="str">
        <f>IF(ISERROR(LOOKUP(E263,WKNrListe,Übersicht!$R$7:$R$46)),"-",LOOKUP(E263,WKNrListe,Übersicht!$R$7:$R$46))</f>
        <v>-</v>
      </c>
      <c r="AL263" s="299" t="str">
        <f t="shared" si="42"/>
        <v>-</v>
      </c>
      <c r="AM263" s="303"/>
      <c r="AN263" s="174" t="str">
        <f t="shared" si="35"/>
        <v>Leer</v>
      </c>
    </row>
    <row r="264" spans="1:40" s="174" customFormat="1" ht="15" customHeight="1">
      <c r="A264" s="63"/>
      <c r="B264" s="63"/>
      <c r="C264" s="84"/>
      <c r="D264" s="85"/>
      <c r="E264" s="62"/>
      <c r="F264" s="62"/>
      <c r="G264" s="62"/>
      <c r="H264" s="62"/>
      <c r="I264" s="62"/>
      <c r="J264" s="62"/>
      <c r="K264" s="62"/>
      <c r="L264" s="62"/>
      <c r="M264" s="62"/>
      <c r="N264" s="62"/>
      <c r="O264" s="62"/>
      <c r="P264" s="62"/>
      <c r="Q264" s="62"/>
      <c r="R264" s="62"/>
      <c r="S264" s="258"/>
      <c r="T264" s="248" t="str">
        <f t="shared" si="40"/>
        <v/>
      </c>
      <c r="U264" s="249" t="str">
        <f t="shared" si="41"/>
        <v/>
      </c>
      <c r="V264" s="294" t="str">
        <f t="shared" si="37"/>
        <v/>
      </c>
      <c r="W264" s="294" t="str">
        <f>IF(((E264="")+(F264="")),"",IF(VLOOKUP(F264,Mannschaften!$A$1:$B$54,2,FALSE)&lt;&gt;E264,"Reiter Mannschaften füllen",""))</f>
        <v/>
      </c>
      <c r="X264" s="248" t="str">
        <f>IF(ISBLANK(C264),"",IF((U264&gt;(LOOKUP(E264,WKNrListe,Übersicht!$O$7:$O$46)))+(U264&lt;(LOOKUP(E264,WKNrListe,Übersicht!$P$7:$P$46))),"JG falsch",""))</f>
        <v/>
      </c>
      <c r="Y264" s="255" t="str">
        <f>IF((A264="")*(B264=""),"",IF(ISERROR(MATCH(E264,WKNrListe,0)),"WK falsch",LOOKUP(E264,WKNrListe,Übersicht!$B$7:$B$46)))</f>
        <v/>
      </c>
      <c r="Z264" s="269" t="str">
        <f>IF(((AJ264=0)*(AH264&lt;&gt;"")*(AK264="-"))+((AJ264&lt;&gt;0)*(AH264&lt;&gt;"")*(AK264="-")),IF(AG264="X",Übersicht!$C$70,Übersicht!$C$69),"-")</f>
        <v>-</v>
      </c>
      <c r="AA264" s="252" t="str">
        <f>IF((($A264="")*($B264=""))+((MID($Y264,1,4)&lt;&gt;"Wahl")*(Deckblatt!$C$14='WK-Vorlagen'!$C$82))+(Deckblatt!$C$14&lt;&gt;'WK-Vorlagen'!$C$82),"",IF(ISERROR(MATCH(VALUE(MID(G264,1,2)),Schwierigkeitsstufen!$G$7:$G$19,0)),"Gerät falsch",LOOKUP(VALUE(MID(G264,1,2)),Schwierigkeitsstufen!$G$7:$G$19,Schwierigkeitsstufen!$H$7:$H$19)))</f>
        <v/>
      </c>
      <c r="AB264" s="250" t="str">
        <f>IF((($A264="")*($B264=""))+((MID($Y264,1,4)&lt;&gt;"Wahl")*(Deckblatt!$C$14='WK-Vorlagen'!$C$82))+(Deckblatt!$C$14&lt;&gt;'WK-Vorlagen'!$C$82),"",IF(ISERROR(MATCH(VALUE(MID(H264,1,2)),Schwierigkeitsstufen!$G$7:$G$19,0)),"Gerät falsch",LOOKUP(VALUE(MID(H264,1,2)),Schwierigkeitsstufen!$G$7:$G$19,Schwierigkeitsstufen!$H$7:$H$19)))</f>
        <v/>
      </c>
      <c r="AC264" s="250" t="str">
        <f>IF((($A264="")*($B264=""))+((MID($Y264,1,4)&lt;&gt;"Wahl")*(Deckblatt!$C$14='WK-Vorlagen'!$C$82))+(Deckblatt!$C$14&lt;&gt;'WK-Vorlagen'!$C$82),"",IF(ISERROR(MATCH(VALUE(MID(I264,1,2)),Schwierigkeitsstufen!$G$7:$G$19,0)),"Gerät falsch",LOOKUP(VALUE(MID(I264,1,2)),Schwierigkeitsstufen!$G$7:$G$19,Schwierigkeitsstufen!$H$7:$H$19)))</f>
        <v/>
      </c>
      <c r="AD264" s="251" t="str">
        <f>IF((($A264="")*($B264=""))+((MID($Y264,1,4)&lt;&gt;"Wahl")*(Deckblatt!$C$14='WK-Vorlagen'!$C$82))+(Deckblatt!$C$14&lt;&gt;'WK-Vorlagen'!$C$82),"",IF(ISERROR(MATCH(VALUE(MID(J264,1,2)),Schwierigkeitsstufen!$G$7:$G$19,0)),"Gerät falsch",LOOKUP(VALUE(MID(J264,1,2)),Schwierigkeitsstufen!$G$7:$G$19,Schwierigkeitsstufen!$H$7:$H$19)))</f>
        <v/>
      </c>
      <c r="AE264" s="211"/>
      <c r="AG264" s="221" t="str">
        <f t="shared" si="36"/>
        <v/>
      </c>
      <c r="AH264" s="222" t="str">
        <f t="shared" si="38"/>
        <v/>
      </c>
      <c r="AI264" s="220">
        <f t="shared" si="43"/>
        <v>4</v>
      </c>
      <c r="AJ264" s="222">
        <f t="shared" si="39"/>
        <v>0</v>
      </c>
      <c r="AK264" s="299" t="str">
        <f>IF(ISERROR(LOOKUP(E264,WKNrListe,Übersicht!$R$7:$R$46)),"-",LOOKUP(E264,WKNrListe,Übersicht!$R$7:$R$46))</f>
        <v>-</v>
      </c>
      <c r="AL264" s="299" t="str">
        <f t="shared" si="42"/>
        <v>-</v>
      </c>
      <c r="AM264" s="303"/>
      <c r="AN264" s="174" t="str">
        <f t="shared" si="35"/>
        <v>Leer</v>
      </c>
    </row>
    <row r="265" spans="1:40" s="174" customFormat="1" ht="15" customHeight="1">
      <c r="A265" s="63"/>
      <c r="B265" s="63"/>
      <c r="C265" s="84"/>
      <c r="D265" s="85"/>
      <c r="E265" s="62"/>
      <c r="F265" s="62"/>
      <c r="G265" s="62"/>
      <c r="H265" s="62"/>
      <c r="I265" s="62"/>
      <c r="J265" s="62"/>
      <c r="K265" s="62"/>
      <c r="L265" s="62"/>
      <c r="M265" s="62"/>
      <c r="N265" s="62"/>
      <c r="O265" s="62"/>
      <c r="P265" s="62"/>
      <c r="Q265" s="62"/>
      <c r="R265" s="62"/>
      <c r="S265" s="258"/>
      <c r="T265" s="248" t="str">
        <f t="shared" si="40"/>
        <v/>
      </c>
      <c r="U265" s="249" t="str">
        <f t="shared" si="41"/>
        <v/>
      </c>
      <c r="V265" s="294" t="str">
        <f t="shared" si="37"/>
        <v/>
      </c>
      <c r="W265" s="294" t="str">
        <f>IF(((E265="")+(F265="")),"",IF(VLOOKUP(F265,Mannschaften!$A$1:$B$54,2,FALSE)&lt;&gt;E265,"Reiter Mannschaften füllen",""))</f>
        <v/>
      </c>
      <c r="X265" s="248" t="str">
        <f>IF(ISBLANK(C265),"",IF((U265&gt;(LOOKUP(E265,WKNrListe,Übersicht!$O$7:$O$46)))+(U265&lt;(LOOKUP(E265,WKNrListe,Übersicht!$P$7:$P$46))),"JG falsch",""))</f>
        <v/>
      </c>
      <c r="Y265" s="255" t="str">
        <f>IF((A265="")*(B265=""),"",IF(ISERROR(MATCH(E265,WKNrListe,0)),"WK falsch",LOOKUP(E265,WKNrListe,Übersicht!$B$7:$B$46)))</f>
        <v/>
      </c>
      <c r="Z265" s="269" t="str">
        <f>IF(((AJ265=0)*(AH265&lt;&gt;"")*(AK265="-"))+((AJ265&lt;&gt;0)*(AH265&lt;&gt;"")*(AK265="-")),IF(AG265="X",Übersicht!$C$70,Übersicht!$C$69),"-")</f>
        <v>-</v>
      </c>
      <c r="AA265" s="252" t="str">
        <f>IF((($A265="")*($B265=""))+((MID($Y265,1,4)&lt;&gt;"Wahl")*(Deckblatt!$C$14='WK-Vorlagen'!$C$82))+(Deckblatt!$C$14&lt;&gt;'WK-Vorlagen'!$C$82),"",IF(ISERROR(MATCH(VALUE(MID(G265,1,2)),Schwierigkeitsstufen!$G$7:$G$19,0)),"Gerät falsch",LOOKUP(VALUE(MID(G265,1,2)),Schwierigkeitsstufen!$G$7:$G$19,Schwierigkeitsstufen!$H$7:$H$19)))</f>
        <v/>
      </c>
      <c r="AB265" s="250" t="str">
        <f>IF((($A265="")*($B265=""))+((MID($Y265,1,4)&lt;&gt;"Wahl")*(Deckblatt!$C$14='WK-Vorlagen'!$C$82))+(Deckblatt!$C$14&lt;&gt;'WK-Vorlagen'!$C$82),"",IF(ISERROR(MATCH(VALUE(MID(H265,1,2)),Schwierigkeitsstufen!$G$7:$G$19,0)),"Gerät falsch",LOOKUP(VALUE(MID(H265,1,2)),Schwierigkeitsstufen!$G$7:$G$19,Schwierigkeitsstufen!$H$7:$H$19)))</f>
        <v/>
      </c>
      <c r="AC265" s="250" t="str">
        <f>IF((($A265="")*($B265=""))+((MID($Y265,1,4)&lt;&gt;"Wahl")*(Deckblatt!$C$14='WK-Vorlagen'!$C$82))+(Deckblatt!$C$14&lt;&gt;'WK-Vorlagen'!$C$82),"",IF(ISERROR(MATCH(VALUE(MID(I265,1,2)),Schwierigkeitsstufen!$G$7:$G$19,0)),"Gerät falsch",LOOKUP(VALUE(MID(I265,1,2)),Schwierigkeitsstufen!$G$7:$G$19,Schwierigkeitsstufen!$H$7:$H$19)))</f>
        <v/>
      </c>
      <c r="AD265" s="251" t="str">
        <f>IF((($A265="")*($B265=""))+((MID($Y265,1,4)&lt;&gt;"Wahl")*(Deckblatt!$C$14='WK-Vorlagen'!$C$82))+(Deckblatt!$C$14&lt;&gt;'WK-Vorlagen'!$C$82),"",IF(ISERROR(MATCH(VALUE(MID(J265,1,2)),Schwierigkeitsstufen!$G$7:$G$19,0)),"Gerät falsch",LOOKUP(VALUE(MID(J265,1,2)),Schwierigkeitsstufen!$G$7:$G$19,Schwierigkeitsstufen!$H$7:$H$19)))</f>
        <v/>
      </c>
      <c r="AE265" s="211"/>
      <c r="AG265" s="221" t="str">
        <f t="shared" si="36"/>
        <v/>
      </c>
      <c r="AH265" s="222" t="str">
        <f t="shared" si="38"/>
        <v/>
      </c>
      <c r="AI265" s="220">
        <f t="shared" si="43"/>
        <v>4</v>
      </c>
      <c r="AJ265" s="222">
        <f t="shared" si="39"/>
        <v>0</v>
      </c>
      <c r="AK265" s="299" t="str">
        <f>IF(ISERROR(LOOKUP(E265,WKNrListe,Übersicht!$R$7:$R$46)),"-",LOOKUP(E265,WKNrListe,Übersicht!$R$7:$R$46))</f>
        <v>-</v>
      </c>
      <c r="AL265" s="299" t="str">
        <f t="shared" si="42"/>
        <v>-</v>
      </c>
      <c r="AM265" s="303"/>
      <c r="AN265" s="174" t="str">
        <f t="shared" si="35"/>
        <v>Leer</v>
      </c>
    </row>
    <row r="266" spans="1:40" s="174" customFormat="1" ht="15" customHeight="1">
      <c r="A266" s="63"/>
      <c r="B266" s="63"/>
      <c r="C266" s="84"/>
      <c r="D266" s="85"/>
      <c r="E266" s="62"/>
      <c r="F266" s="62"/>
      <c r="G266" s="62"/>
      <c r="H266" s="62"/>
      <c r="I266" s="62"/>
      <c r="J266" s="62"/>
      <c r="K266" s="62"/>
      <c r="L266" s="62"/>
      <c r="M266" s="62"/>
      <c r="N266" s="62"/>
      <c r="O266" s="62"/>
      <c r="P266" s="62"/>
      <c r="Q266" s="62"/>
      <c r="R266" s="62"/>
      <c r="S266" s="258"/>
      <c r="T266" s="248" t="str">
        <f t="shared" si="40"/>
        <v/>
      </c>
      <c r="U266" s="249" t="str">
        <f t="shared" si="41"/>
        <v/>
      </c>
      <c r="V266" s="294" t="str">
        <f t="shared" si="37"/>
        <v/>
      </c>
      <c r="W266" s="294" t="str">
        <f>IF(((E266="")+(F266="")),"",IF(VLOOKUP(F266,Mannschaften!$A$1:$B$54,2,FALSE)&lt;&gt;E266,"Reiter Mannschaften füllen",""))</f>
        <v/>
      </c>
      <c r="X266" s="248" t="str">
        <f>IF(ISBLANK(C266),"",IF((U266&gt;(LOOKUP(E266,WKNrListe,Übersicht!$O$7:$O$46)))+(U266&lt;(LOOKUP(E266,WKNrListe,Übersicht!$P$7:$P$46))),"JG falsch",""))</f>
        <v/>
      </c>
      <c r="Y266" s="255" t="str">
        <f>IF((A266="")*(B266=""),"",IF(ISERROR(MATCH(E266,WKNrListe,0)),"WK falsch",LOOKUP(E266,WKNrListe,Übersicht!$B$7:$B$46)))</f>
        <v/>
      </c>
      <c r="Z266" s="269" t="str">
        <f>IF(((AJ266=0)*(AH266&lt;&gt;"")*(AK266="-"))+((AJ266&lt;&gt;0)*(AH266&lt;&gt;"")*(AK266="-")),IF(AG266="X",Übersicht!$C$70,Übersicht!$C$69),"-")</f>
        <v>-</v>
      </c>
      <c r="AA266" s="252" t="str">
        <f>IF((($A266="")*($B266=""))+((MID($Y266,1,4)&lt;&gt;"Wahl")*(Deckblatt!$C$14='WK-Vorlagen'!$C$82))+(Deckblatt!$C$14&lt;&gt;'WK-Vorlagen'!$C$82),"",IF(ISERROR(MATCH(VALUE(MID(G266,1,2)),Schwierigkeitsstufen!$G$7:$G$19,0)),"Gerät falsch",LOOKUP(VALUE(MID(G266,1,2)),Schwierigkeitsstufen!$G$7:$G$19,Schwierigkeitsstufen!$H$7:$H$19)))</f>
        <v/>
      </c>
      <c r="AB266" s="250" t="str">
        <f>IF((($A266="")*($B266=""))+((MID($Y266,1,4)&lt;&gt;"Wahl")*(Deckblatt!$C$14='WK-Vorlagen'!$C$82))+(Deckblatt!$C$14&lt;&gt;'WK-Vorlagen'!$C$82),"",IF(ISERROR(MATCH(VALUE(MID(H266,1,2)),Schwierigkeitsstufen!$G$7:$G$19,0)),"Gerät falsch",LOOKUP(VALUE(MID(H266,1,2)),Schwierigkeitsstufen!$G$7:$G$19,Schwierigkeitsstufen!$H$7:$H$19)))</f>
        <v/>
      </c>
      <c r="AC266" s="250" t="str">
        <f>IF((($A266="")*($B266=""))+((MID($Y266,1,4)&lt;&gt;"Wahl")*(Deckblatt!$C$14='WK-Vorlagen'!$C$82))+(Deckblatt!$C$14&lt;&gt;'WK-Vorlagen'!$C$82),"",IF(ISERROR(MATCH(VALUE(MID(I266,1,2)),Schwierigkeitsstufen!$G$7:$G$19,0)),"Gerät falsch",LOOKUP(VALUE(MID(I266,1,2)),Schwierigkeitsstufen!$G$7:$G$19,Schwierigkeitsstufen!$H$7:$H$19)))</f>
        <v/>
      </c>
      <c r="AD266" s="251" t="str">
        <f>IF((($A266="")*($B266=""))+((MID($Y266,1,4)&lt;&gt;"Wahl")*(Deckblatt!$C$14='WK-Vorlagen'!$C$82))+(Deckblatt!$C$14&lt;&gt;'WK-Vorlagen'!$C$82),"",IF(ISERROR(MATCH(VALUE(MID(J266,1,2)),Schwierigkeitsstufen!$G$7:$G$19,0)),"Gerät falsch",LOOKUP(VALUE(MID(J266,1,2)),Schwierigkeitsstufen!$G$7:$G$19,Schwierigkeitsstufen!$H$7:$H$19)))</f>
        <v/>
      </c>
      <c r="AE266" s="211"/>
      <c r="AG266" s="221" t="str">
        <f t="shared" si="36"/>
        <v/>
      </c>
      <c r="AH266" s="222" t="str">
        <f t="shared" si="38"/>
        <v/>
      </c>
      <c r="AI266" s="220">
        <f t="shared" si="43"/>
        <v>4</v>
      </c>
      <c r="AJ266" s="222">
        <f t="shared" si="39"/>
        <v>0</v>
      </c>
      <c r="AK266" s="299" t="str">
        <f>IF(ISERROR(LOOKUP(E266,WKNrListe,Übersicht!$R$7:$R$46)),"-",LOOKUP(E266,WKNrListe,Übersicht!$R$7:$R$46))</f>
        <v>-</v>
      </c>
      <c r="AL266" s="299" t="str">
        <f t="shared" si="42"/>
        <v>-</v>
      </c>
      <c r="AM266" s="303"/>
      <c r="AN266" s="174" t="str">
        <f t="shared" si="35"/>
        <v>Leer</v>
      </c>
    </row>
    <row r="267" spans="1:40" s="174" customFormat="1" ht="15" customHeight="1">
      <c r="A267" s="63"/>
      <c r="B267" s="63"/>
      <c r="C267" s="84"/>
      <c r="D267" s="85"/>
      <c r="E267" s="62"/>
      <c r="F267" s="62"/>
      <c r="G267" s="62"/>
      <c r="H267" s="62"/>
      <c r="I267" s="62"/>
      <c r="J267" s="62"/>
      <c r="K267" s="62"/>
      <c r="L267" s="62"/>
      <c r="M267" s="62"/>
      <c r="N267" s="62"/>
      <c r="O267" s="62"/>
      <c r="P267" s="62"/>
      <c r="Q267" s="62"/>
      <c r="R267" s="62"/>
      <c r="S267" s="258"/>
      <c r="T267" s="248" t="str">
        <f t="shared" si="40"/>
        <v/>
      </c>
      <c r="U267" s="249" t="str">
        <f t="shared" si="41"/>
        <v/>
      </c>
      <c r="V267" s="294" t="str">
        <f t="shared" si="37"/>
        <v/>
      </c>
      <c r="W267" s="294" t="str">
        <f>IF(((E267="")+(F267="")),"",IF(VLOOKUP(F267,Mannschaften!$A$1:$B$54,2,FALSE)&lt;&gt;E267,"Reiter Mannschaften füllen",""))</f>
        <v/>
      </c>
      <c r="X267" s="248" t="str">
        <f>IF(ISBLANK(C267),"",IF((U267&gt;(LOOKUP(E267,WKNrListe,Übersicht!$O$7:$O$46)))+(U267&lt;(LOOKUP(E267,WKNrListe,Übersicht!$P$7:$P$46))),"JG falsch",""))</f>
        <v/>
      </c>
      <c r="Y267" s="255" t="str">
        <f>IF((A267="")*(B267=""),"",IF(ISERROR(MATCH(E267,WKNrListe,0)),"WK falsch",LOOKUP(E267,WKNrListe,Übersicht!$B$7:$B$46)))</f>
        <v/>
      </c>
      <c r="Z267" s="269" t="str">
        <f>IF(((AJ267=0)*(AH267&lt;&gt;"")*(AK267="-"))+((AJ267&lt;&gt;0)*(AH267&lt;&gt;"")*(AK267="-")),IF(AG267="X",Übersicht!$C$70,Übersicht!$C$69),"-")</f>
        <v>-</v>
      </c>
      <c r="AA267" s="252" t="str">
        <f>IF((($A267="")*($B267=""))+((MID($Y267,1,4)&lt;&gt;"Wahl")*(Deckblatt!$C$14='WK-Vorlagen'!$C$82))+(Deckblatt!$C$14&lt;&gt;'WK-Vorlagen'!$C$82),"",IF(ISERROR(MATCH(VALUE(MID(G267,1,2)),Schwierigkeitsstufen!$G$7:$G$19,0)),"Gerät falsch",LOOKUP(VALUE(MID(G267,1,2)),Schwierigkeitsstufen!$G$7:$G$19,Schwierigkeitsstufen!$H$7:$H$19)))</f>
        <v/>
      </c>
      <c r="AB267" s="250" t="str">
        <f>IF((($A267="")*($B267=""))+((MID($Y267,1,4)&lt;&gt;"Wahl")*(Deckblatt!$C$14='WK-Vorlagen'!$C$82))+(Deckblatt!$C$14&lt;&gt;'WK-Vorlagen'!$C$82),"",IF(ISERROR(MATCH(VALUE(MID(H267,1,2)),Schwierigkeitsstufen!$G$7:$G$19,0)),"Gerät falsch",LOOKUP(VALUE(MID(H267,1,2)),Schwierigkeitsstufen!$G$7:$G$19,Schwierigkeitsstufen!$H$7:$H$19)))</f>
        <v/>
      </c>
      <c r="AC267" s="250" t="str">
        <f>IF((($A267="")*($B267=""))+((MID($Y267,1,4)&lt;&gt;"Wahl")*(Deckblatt!$C$14='WK-Vorlagen'!$C$82))+(Deckblatt!$C$14&lt;&gt;'WK-Vorlagen'!$C$82),"",IF(ISERROR(MATCH(VALUE(MID(I267,1,2)),Schwierigkeitsstufen!$G$7:$G$19,0)),"Gerät falsch",LOOKUP(VALUE(MID(I267,1,2)),Schwierigkeitsstufen!$G$7:$G$19,Schwierigkeitsstufen!$H$7:$H$19)))</f>
        <v/>
      </c>
      <c r="AD267" s="251" t="str">
        <f>IF((($A267="")*($B267=""))+((MID($Y267,1,4)&lt;&gt;"Wahl")*(Deckblatt!$C$14='WK-Vorlagen'!$C$82))+(Deckblatt!$C$14&lt;&gt;'WK-Vorlagen'!$C$82),"",IF(ISERROR(MATCH(VALUE(MID(J267,1,2)),Schwierigkeitsstufen!$G$7:$G$19,0)),"Gerät falsch",LOOKUP(VALUE(MID(J267,1,2)),Schwierigkeitsstufen!$G$7:$G$19,Schwierigkeitsstufen!$H$7:$H$19)))</f>
        <v/>
      </c>
      <c r="AE267" s="211"/>
      <c r="AG267" s="221" t="str">
        <f t="shared" si="36"/>
        <v/>
      </c>
      <c r="AH267" s="222" t="str">
        <f t="shared" si="38"/>
        <v/>
      </c>
      <c r="AI267" s="220">
        <f t="shared" si="43"/>
        <v>4</v>
      </c>
      <c r="AJ267" s="222">
        <f t="shared" si="39"/>
        <v>0</v>
      </c>
      <c r="AK267" s="299" t="str">
        <f>IF(ISERROR(LOOKUP(E267,WKNrListe,Übersicht!$R$7:$R$46)),"-",LOOKUP(E267,WKNrListe,Übersicht!$R$7:$R$46))</f>
        <v>-</v>
      </c>
      <c r="AL267" s="299" t="str">
        <f t="shared" si="42"/>
        <v>-</v>
      </c>
      <c r="AM267" s="303"/>
      <c r="AN267" s="174" t="str">
        <f t="shared" si="35"/>
        <v>Leer</v>
      </c>
    </row>
    <row r="268" spans="1:40" s="174" customFormat="1" ht="15" customHeight="1">
      <c r="A268" s="63"/>
      <c r="B268" s="63"/>
      <c r="C268" s="84"/>
      <c r="D268" s="85"/>
      <c r="E268" s="62"/>
      <c r="F268" s="62"/>
      <c r="G268" s="62"/>
      <c r="H268" s="62"/>
      <c r="I268" s="62"/>
      <c r="J268" s="62"/>
      <c r="K268" s="62"/>
      <c r="L268" s="62"/>
      <c r="M268" s="62"/>
      <c r="N268" s="62"/>
      <c r="O268" s="62"/>
      <c r="P268" s="62"/>
      <c r="Q268" s="62"/>
      <c r="R268" s="62"/>
      <c r="S268" s="258"/>
      <c r="T268" s="248" t="str">
        <f t="shared" si="40"/>
        <v/>
      </c>
      <c r="U268" s="249" t="str">
        <f t="shared" si="41"/>
        <v/>
      </c>
      <c r="V268" s="294" t="str">
        <f t="shared" si="37"/>
        <v/>
      </c>
      <c r="W268" s="294" t="str">
        <f>IF(((E268="")+(F268="")),"",IF(VLOOKUP(F268,Mannschaften!$A$1:$B$54,2,FALSE)&lt;&gt;E268,"Reiter Mannschaften füllen",""))</f>
        <v/>
      </c>
      <c r="X268" s="248" t="str">
        <f>IF(ISBLANK(C268),"",IF((U268&gt;(LOOKUP(E268,WKNrListe,Übersicht!$O$7:$O$46)))+(U268&lt;(LOOKUP(E268,WKNrListe,Übersicht!$P$7:$P$46))),"JG falsch",""))</f>
        <v/>
      </c>
      <c r="Y268" s="255" t="str">
        <f>IF((A268="")*(B268=""),"",IF(ISERROR(MATCH(E268,WKNrListe,0)),"WK falsch",LOOKUP(E268,WKNrListe,Übersicht!$B$7:$B$46)))</f>
        <v/>
      </c>
      <c r="Z268" s="269" t="str">
        <f>IF(((AJ268=0)*(AH268&lt;&gt;"")*(AK268="-"))+((AJ268&lt;&gt;0)*(AH268&lt;&gt;"")*(AK268="-")),IF(AG268="X",Übersicht!$C$70,Übersicht!$C$69),"-")</f>
        <v>-</v>
      </c>
      <c r="AA268" s="252" t="str">
        <f>IF((($A268="")*($B268=""))+((MID($Y268,1,4)&lt;&gt;"Wahl")*(Deckblatt!$C$14='WK-Vorlagen'!$C$82))+(Deckblatt!$C$14&lt;&gt;'WK-Vorlagen'!$C$82),"",IF(ISERROR(MATCH(VALUE(MID(G268,1,2)),Schwierigkeitsstufen!$G$7:$G$19,0)),"Gerät falsch",LOOKUP(VALUE(MID(G268,1,2)),Schwierigkeitsstufen!$G$7:$G$19,Schwierigkeitsstufen!$H$7:$H$19)))</f>
        <v/>
      </c>
      <c r="AB268" s="250" t="str">
        <f>IF((($A268="")*($B268=""))+((MID($Y268,1,4)&lt;&gt;"Wahl")*(Deckblatt!$C$14='WK-Vorlagen'!$C$82))+(Deckblatt!$C$14&lt;&gt;'WK-Vorlagen'!$C$82),"",IF(ISERROR(MATCH(VALUE(MID(H268,1,2)),Schwierigkeitsstufen!$G$7:$G$19,0)),"Gerät falsch",LOOKUP(VALUE(MID(H268,1,2)),Schwierigkeitsstufen!$G$7:$G$19,Schwierigkeitsstufen!$H$7:$H$19)))</f>
        <v/>
      </c>
      <c r="AC268" s="250" t="str">
        <f>IF((($A268="")*($B268=""))+((MID($Y268,1,4)&lt;&gt;"Wahl")*(Deckblatt!$C$14='WK-Vorlagen'!$C$82))+(Deckblatt!$C$14&lt;&gt;'WK-Vorlagen'!$C$82),"",IF(ISERROR(MATCH(VALUE(MID(I268,1,2)),Schwierigkeitsstufen!$G$7:$G$19,0)),"Gerät falsch",LOOKUP(VALUE(MID(I268,1,2)),Schwierigkeitsstufen!$G$7:$G$19,Schwierigkeitsstufen!$H$7:$H$19)))</f>
        <v/>
      </c>
      <c r="AD268" s="251" t="str">
        <f>IF((($A268="")*($B268=""))+((MID($Y268,1,4)&lt;&gt;"Wahl")*(Deckblatt!$C$14='WK-Vorlagen'!$C$82))+(Deckblatt!$C$14&lt;&gt;'WK-Vorlagen'!$C$82),"",IF(ISERROR(MATCH(VALUE(MID(J268,1,2)),Schwierigkeitsstufen!$G$7:$G$19,0)),"Gerät falsch",LOOKUP(VALUE(MID(J268,1,2)),Schwierigkeitsstufen!$G$7:$G$19,Schwierigkeitsstufen!$H$7:$H$19)))</f>
        <v/>
      </c>
      <c r="AE268" s="211"/>
      <c r="AG268" s="221" t="str">
        <f t="shared" si="36"/>
        <v/>
      </c>
      <c r="AH268" s="222" t="str">
        <f t="shared" si="38"/>
        <v/>
      </c>
      <c r="AI268" s="220">
        <f t="shared" si="43"/>
        <v>4</v>
      </c>
      <c r="AJ268" s="222">
        <f t="shared" si="39"/>
        <v>0</v>
      </c>
      <c r="AK268" s="299" t="str">
        <f>IF(ISERROR(LOOKUP(E268,WKNrListe,Übersicht!$R$7:$R$46)),"-",LOOKUP(E268,WKNrListe,Übersicht!$R$7:$R$46))</f>
        <v>-</v>
      </c>
      <c r="AL268" s="299" t="str">
        <f t="shared" si="42"/>
        <v>-</v>
      </c>
      <c r="AM268" s="303"/>
      <c r="AN268" s="174" t="str">
        <f t="shared" si="35"/>
        <v>Leer</v>
      </c>
    </row>
    <row r="269" spans="1:40" s="174" customFormat="1" ht="15" customHeight="1">
      <c r="A269" s="63"/>
      <c r="B269" s="63"/>
      <c r="C269" s="84"/>
      <c r="D269" s="85"/>
      <c r="E269" s="62"/>
      <c r="F269" s="62"/>
      <c r="G269" s="62"/>
      <c r="H269" s="62"/>
      <c r="I269" s="62"/>
      <c r="J269" s="62"/>
      <c r="K269" s="62"/>
      <c r="L269" s="62"/>
      <c r="M269" s="62"/>
      <c r="N269" s="62"/>
      <c r="O269" s="62"/>
      <c r="P269" s="62"/>
      <c r="Q269" s="62"/>
      <c r="R269" s="62"/>
      <c r="S269" s="258"/>
      <c r="T269" s="248" t="str">
        <f t="shared" si="40"/>
        <v/>
      </c>
      <c r="U269" s="249" t="str">
        <f t="shared" si="41"/>
        <v/>
      </c>
      <c r="V269" s="294" t="str">
        <f t="shared" si="37"/>
        <v/>
      </c>
      <c r="W269" s="294" t="str">
        <f>IF(((E269="")+(F269="")),"",IF(VLOOKUP(F269,Mannschaften!$A$1:$B$54,2,FALSE)&lt;&gt;E269,"Reiter Mannschaften füllen",""))</f>
        <v/>
      </c>
      <c r="X269" s="248" t="str">
        <f>IF(ISBLANK(C269),"",IF((U269&gt;(LOOKUP(E269,WKNrListe,Übersicht!$O$7:$O$46)))+(U269&lt;(LOOKUP(E269,WKNrListe,Übersicht!$P$7:$P$46))),"JG falsch",""))</f>
        <v/>
      </c>
      <c r="Y269" s="255" t="str">
        <f>IF((A269="")*(B269=""),"",IF(ISERROR(MATCH(E269,WKNrListe,0)),"WK falsch",LOOKUP(E269,WKNrListe,Übersicht!$B$7:$B$46)))</f>
        <v/>
      </c>
      <c r="Z269" s="269" t="str">
        <f>IF(((AJ269=0)*(AH269&lt;&gt;"")*(AK269="-"))+((AJ269&lt;&gt;0)*(AH269&lt;&gt;"")*(AK269="-")),IF(AG269="X",Übersicht!$C$70,Übersicht!$C$69),"-")</f>
        <v>-</v>
      </c>
      <c r="AA269" s="252" t="str">
        <f>IF((($A269="")*($B269=""))+((MID($Y269,1,4)&lt;&gt;"Wahl")*(Deckblatt!$C$14='WK-Vorlagen'!$C$82))+(Deckblatt!$C$14&lt;&gt;'WK-Vorlagen'!$C$82),"",IF(ISERROR(MATCH(VALUE(MID(G269,1,2)),Schwierigkeitsstufen!$G$7:$G$19,0)),"Gerät falsch",LOOKUP(VALUE(MID(G269,1,2)),Schwierigkeitsstufen!$G$7:$G$19,Schwierigkeitsstufen!$H$7:$H$19)))</f>
        <v/>
      </c>
      <c r="AB269" s="250" t="str">
        <f>IF((($A269="")*($B269=""))+((MID($Y269,1,4)&lt;&gt;"Wahl")*(Deckblatt!$C$14='WK-Vorlagen'!$C$82))+(Deckblatt!$C$14&lt;&gt;'WK-Vorlagen'!$C$82),"",IF(ISERROR(MATCH(VALUE(MID(H269,1,2)),Schwierigkeitsstufen!$G$7:$G$19,0)),"Gerät falsch",LOOKUP(VALUE(MID(H269,1,2)),Schwierigkeitsstufen!$G$7:$G$19,Schwierigkeitsstufen!$H$7:$H$19)))</f>
        <v/>
      </c>
      <c r="AC269" s="250" t="str">
        <f>IF((($A269="")*($B269=""))+((MID($Y269,1,4)&lt;&gt;"Wahl")*(Deckblatt!$C$14='WK-Vorlagen'!$C$82))+(Deckblatt!$C$14&lt;&gt;'WK-Vorlagen'!$C$82),"",IF(ISERROR(MATCH(VALUE(MID(I269,1,2)),Schwierigkeitsstufen!$G$7:$G$19,0)),"Gerät falsch",LOOKUP(VALUE(MID(I269,1,2)),Schwierigkeitsstufen!$G$7:$G$19,Schwierigkeitsstufen!$H$7:$H$19)))</f>
        <v/>
      </c>
      <c r="AD269" s="251" t="str">
        <f>IF((($A269="")*($B269=""))+((MID($Y269,1,4)&lt;&gt;"Wahl")*(Deckblatt!$C$14='WK-Vorlagen'!$C$82))+(Deckblatt!$C$14&lt;&gt;'WK-Vorlagen'!$C$82),"",IF(ISERROR(MATCH(VALUE(MID(J269,1,2)),Schwierigkeitsstufen!$G$7:$G$19,0)),"Gerät falsch",LOOKUP(VALUE(MID(J269,1,2)),Schwierigkeitsstufen!$G$7:$G$19,Schwierigkeitsstufen!$H$7:$H$19)))</f>
        <v/>
      </c>
      <c r="AE269" s="211"/>
      <c r="AG269" s="221" t="str">
        <f t="shared" si="36"/>
        <v/>
      </c>
      <c r="AH269" s="222" t="str">
        <f t="shared" si="38"/>
        <v/>
      </c>
      <c r="AI269" s="220">
        <f t="shared" si="43"/>
        <v>4</v>
      </c>
      <c r="AJ269" s="222">
        <f t="shared" si="39"/>
        <v>0</v>
      </c>
      <c r="AK269" s="299" t="str">
        <f>IF(ISERROR(LOOKUP(E269,WKNrListe,Übersicht!$R$7:$R$46)),"-",LOOKUP(E269,WKNrListe,Übersicht!$R$7:$R$46))</f>
        <v>-</v>
      </c>
      <c r="AL269" s="299" t="str">
        <f t="shared" si="42"/>
        <v>-</v>
      </c>
      <c r="AM269" s="303"/>
      <c r="AN269" s="174" t="str">
        <f t="shared" si="35"/>
        <v>Leer</v>
      </c>
    </row>
    <row r="270" spans="1:40" s="174" customFormat="1" ht="15" customHeight="1">
      <c r="A270" s="63"/>
      <c r="B270" s="63"/>
      <c r="C270" s="84"/>
      <c r="D270" s="85"/>
      <c r="E270" s="62"/>
      <c r="F270" s="62"/>
      <c r="G270" s="62"/>
      <c r="H270" s="62"/>
      <c r="I270" s="62"/>
      <c r="J270" s="62"/>
      <c r="K270" s="62"/>
      <c r="L270" s="62"/>
      <c r="M270" s="62"/>
      <c r="N270" s="62"/>
      <c r="O270" s="62"/>
      <c r="P270" s="62"/>
      <c r="Q270" s="62"/>
      <c r="R270" s="62"/>
      <c r="S270" s="258"/>
      <c r="T270" s="248" t="str">
        <f t="shared" si="40"/>
        <v/>
      </c>
      <c r="U270" s="249" t="str">
        <f t="shared" si="41"/>
        <v/>
      </c>
      <c r="V270" s="294" t="str">
        <f t="shared" si="37"/>
        <v/>
      </c>
      <c r="W270" s="294" t="str">
        <f>IF(((E270="")+(F270="")),"",IF(VLOOKUP(F270,Mannschaften!$A$1:$B$54,2,FALSE)&lt;&gt;E270,"Reiter Mannschaften füllen",""))</f>
        <v/>
      </c>
      <c r="X270" s="248" t="str">
        <f>IF(ISBLANK(C270),"",IF((U270&gt;(LOOKUP(E270,WKNrListe,Übersicht!$O$7:$O$46)))+(U270&lt;(LOOKUP(E270,WKNrListe,Übersicht!$P$7:$P$46))),"JG falsch",""))</f>
        <v/>
      </c>
      <c r="Y270" s="255" t="str">
        <f>IF((A270="")*(B270=""),"",IF(ISERROR(MATCH(E270,WKNrListe,0)),"WK falsch",LOOKUP(E270,WKNrListe,Übersicht!$B$7:$B$46)))</f>
        <v/>
      </c>
      <c r="Z270" s="269" t="str">
        <f>IF(((AJ270=0)*(AH270&lt;&gt;"")*(AK270="-"))+((AJ270&lt;&gt;0)*(AH270&lt;&gt;"")*(AK270="-")),IF(AG270="X",Übersicht!$C$70,Übersicht!$C$69),"-")</f>
        <v>-</v>
      </c>
      <c r="AA270" s="252" t="str">
        <f>IF((($A270="")*($B270=""))+((MID($Y270,1,4)&lt;&gt;"Wahl")*(Deckblatt!$C$14='WK-Vorlagen'!$C$82))+(Deckblatt!$C$14&lt;&gt;'WK-Vorlagen'!$C$82),"",IF(ISERROR(MATCH(VALUE(MID(G270,1,2)),Schwierigkeitsstufen!$G$7:$G$19,0)),"Gerät falsch",LOOKUP(VALUE(MID(G270,1,2)),Schwierigkeitsstufen!$G$7:$G$19,Schwierigkeitsstufen!$H$7:$H$19)))</f>
        <v/>
      </c>
      <c r="AB270" s="250" t="str">
        <f>IF((($A270="")*($B270=""))+((MID($Y270,1,4)&lt;&gt;"Wahl")*(Deckblatt!$C$14='WK-Vorlagen'!$C$82))+(Deckblatt!$C$14&lt;&gt;'WK-Vorlagen'!$C$82),"",IF(ISERROR(MATCH(VALUE(MID(H270,1,2)),Schwierigkeitsstufen!$G$7:$G$19,0)),"Gerät falsch",LOOKUP(VALUE(MID(H270,1,2)),Schwierigkeitsstufen!$G$7:$G$19,Schwierigkeitsstufen!$H$7:$H$19)))</f>
        <v/>
      </c>
      <c r="AC270" s="250" t="str">
        <f>IF((($A270="")*($B270=""))+((MID($Y270,1,4)&lt;&gt;"Wahl")*(Deckblatt!$C$14='WK-Vorlagen'!$C$82))+(Deckblatt!$C$14&lt;&gt;'WK-Vorlagen'!$C$82),"",IF(ISERROR(MATCH(VALUE(MID(I270,1,2)),Schwierigkeitsstufen!$G$7:$G$19,0)),"Gerät falsch",LOOKUP(VALUE(MID(I270,1,2)),Schwierigkeitsstufen!$G$7:$G$19,Schwierigkeitsstufen!$H$7:$H$19)))</f>
        <v/>
      </c>
      <c r="AD270" s="251" t="str">
        <f>IF((($A270="")*($B270=""))+((MID($Y270,1,4)&lt;&gt;"Wahl")*(Deckblatt!$C$14='WK-Vorlagen'!$C$82))+(Deckblatt!$C$14&lt;&gt;'WK-Vorlagen'!$C$82),"",IF(ISERROR(MATCH(VALUE(MID(J270,1,2)),Schwierigkeitsstufen!$G$7:$G$19,0)),"Gerät falsch",LOOKUP(VALUE(MID(J270,1,2)),Schwierigkeitsstufen!$G$7:$G$19,Schwierigkeitsstufen!$H$7:$H$19)))</f>
        <v/>
      </c>
      <c r="AE270" s="211"/>
      <c r="AG270" s="221" t="str">
        <f t="shared" si="36"/>
        <v/>
      </c>
      <c r="AH270" s="222" t="str">
        <f t="shared" si="38"/>
        <v/>
      </c>
      <c r="AI270" s="220">
        <f t="shared" si="43"/>
        <v>4</v>
      </c>
      <c r="AJ270" s="222">
        <f t="shared" si="39"/>
        <v>0</v>
      </c>
      <c r="AK270" s="299" t="str">
        <f>IF(ISERROR(LOOKUP(E270,WKNrListe,Übersicht!$R$7:$R$46)),"-",LOOKUP(E270,WKNrListe,Übersicht!$R$7:$R$46))</f>
        <v>-</v>
      </c>
      <c r="AL270" s="299" t="str">
        <f t="shared" si="42"/>
        <v>-</v>
      </c>
      <c r="AM270" s="303"/>
      <c r="AN270" s="174" t="str">
        <f t="shared" si="35"/>
        <v>Leer</v>
      </c>
    </row>
    <row r="271" spans="1:40" s="174" customFormat="1" ht="15" customHeight="1">
      <c r="A271" s="63"/>
      <c r="B271" s="63"/>
      <c r="C271" s="84"/>
      <c r="D271" s="85"/>
      <c r="E271" s="62"/>
      <c r="F271" s="62"/>
      <c r="G271" s="62"/>
      <c r="H271" s="62"/>
      <c r="I271" s="62"/>
      <c r="J271" s="62"/>
      <c r="K271" s="62"/>
      <c r="L271" s="62"/>
      <c r="M271" s="62"/>
      <c r="N271" s="62"/>
      <c r="O271" s="62"/>
      <c r="P271" s="62"/>
      <c r="Q271" s="62"/>
      <c r="R271" s="62"/>
      <c r="S271" s="258"/>
      <c r="T271" s="248" t="str">
        <f t="shared" si="40"/>
        <v/>
      </c>
      <c r="U271" s="249" t="str">
        <f t="shared" si="41"/>
        <v/>
      </c>
      <c r="V271" s="294" t="str">
        <f t="shared" si="37"/>
        <v/>
      </c>
      <c r="W271" s="294" t="str">
        <f>IF(((E271="")+(F271="")),"",IF(VLOOKUP(F271,Mannschaften!$A$1:$B$54,2,FALSE)&lt;&gt;E271,"Reiter Mannschaften füllen",""))</f>
        <v/>
      </c>
      <c r="X271" s="248" t="str">
        <f>IF(ISBLANK(C271),"",IF((U271&gt;(LOOKUP(E271,WKNrListe,Übersicht!$O$7:$O$46)))+(U271&lt;(LOOKUP(E271,WKNrListe,Übersicht!$P$7:$P$46))),"JG falsch",""))</f>
        <v/>
      </c>
      <c r="Y271" s="255" t="str">
        <f>IF((A271="")*(B271=""),"",IF(ISERROR(MATCH(E271,WKNrListe,0)),"WK falsch",LOOKUP(E271,WKNrListe,Übersicht!$B$7:$B$46)))</f>
        <v/>
      </c>
      <c r="Z271" s="269" t="str">
        <f>IF(((AJ271=0)*(AH271&lt;&gt;"")*(AK271="-"))+((AJ271&lt;&gt;0)*(AH271&lt;&gt;"")*(AK271="-")),IF(AG271="X",Übersicht!$C$70,Übersicht!$C$69),"-")</f>
        <v>-</v>
      </c>
      <c r="AA271" s="252" t="str">
        <f>IF((($A271="")*($B271=""))+((MID($Y271,1,4)&lt;&gt;"Wahl")*(Deckblatt!$C$14='WK-Vorlagen'!$C$82))+(Deckblatt!$C$14&lt;&gt;'WK-Vorlagen'!$C$82),"",IF(ISERROR(MATCH(VALUE(MID(G271,1,2)),Schwierigkeitsstufen!$G$7:$G$19,0)),"Gerät falsch",LOOKUP(VALUE(MID(G271,1,2)),Schwierigkeitsstufen!$G$7:$G$19,Schwierigkeitsstufen!$H$7:$H$19)))</f>
        <v/>
      </c>
      <c r="AB271" s="250" t="str">
        <f>IF((($A271="")*($B271=""))+((MID($Y271,1,4)&lt;&gt;"Wahl")*(Deckblatt!$C$14='WK-Vorlagen'!$C$82))+(Deckblatt!$C$14&lt;&gt;'WK-Vorlagen'!$C$82),"",IF(ISERROR(MATCH(VALUE(MID(H271,1,2)),Schwierigkeitsstufen!$G$7:$G$19,0)),"Gerät falsch",LOOKUP(VALUE(MID(H271,1,2)),Schwierigkeitsstufen!$G$7:$G$19,Schwierigkeitsstufen!$H$7:$H$19)))</f>
        <v/>
      </c>
      <c r="AC271" s="250" t="str">
        <f>IF((($A271="")*($B271=""))+((MID($Y271,1,4)&lt;&gt;"Wahl")*(Deckblatt!$C$14='WK-Vorlagen'!$C$82))+(Deckblatt!$C$14&lt;&gt;'WK-Vorlagen'!$C$82),"",IF(ISERROR(MATCH(VALUE(MID(I271,1,2)),Schwierigkeitsstufen!$G$7:$G$19,0)),"Gerät falsch",LOOKUP(VALUE(MID(I271,1,2)),Schwierigkeitsstufen!$G$7:$G$19,Schwierigkeitsstufen!$H$7:$H$19)))</f>
        <v/>
      </c>
      <c r="AD271" s="251" t="str">
        <f>IF((($A271="")*($B271=""))+((MID($Y271,1,4)&lt;&gt;"Wahl")*(Deckblatt!$C$14='WK-Vorlagen'!$C$82))+(Deckblatt!$C$14&lt;&gt;'WK-Vorlagen'!$C$82),"",IF(ISERROR(MATCH(VALUE(MID(J271,1,2)),Schwierigkeitsstufen!$G$7:$G$19,0)),"Gerät falsch",LOOKUP(VALUE(MID(J271,1,2)),Schwierigkeitsstufen!$G$7:$G$19,Schwierigkeitsstufen!$H$7:$H$19)))</f>
        <v/>
      </c>
      <c r="AE271" s="211"/>
      <c r="AG271" s="221" t="str">
        <f t="shared" si="36"/>
        <v/>
      </c>
      <c r="AH271" s="222" t="str">
        <f t="shared" si="38"/>
        <v/>
      </c>
      <c r="AI271" s="220">
        <f t="shared" si="43"/>
        <v>4</v>
      </c>
      <c r="AJ271" s="222">
        <f t="shared" si="39"/>
        <v>0</v>
      </c>
      <c r="AK271" s="299" t="str">
        <f>IF(ISERROR(LOOKUP(E271,WKNrListe,Übersicht!$R$7:$R$46)),"-",LOOKUP(E271,WKNrListe,Übersicht!$R$7:$R$46))</f>
        <v>-</v>
      </c>
      <c r="AL271" s="299" t="str">
        <f t="shared" si="42"/>
        <v>-</v>
      </c>
      <c r="AM271" s="303"/>
      <c r="AN271" s="174" t="str">
        <f t="shared" si="35"/>
        <v>Leer</v>
      </c>
    </row>
    <row r="272" spans="1:40" s="174" customFormat="1" ht="15" customHeight="1">
      <c r="A272" s="63"/>
      <c r="B272" s="63"/>
      <c r="C272" s="84"/>
      <c r="D272" s="85"/>
      <c r="E272" s="62"/>
      <c r="F272" s="62"/>
      <c r="G272" s="62"/>
      <c r="H272" s="62"/>
      <c r="I272" s="62"/>
      <c r="J272" s="62"/>
      <c r="K272" s="62"/>
      <c r="L272" s="62"/>
      <c r="M272" s="62"/>
      <c r="N272" s="62"/>
      <c r="O272" s="62"/>
      <c r="P272" s="62"/>
      <c r="Q272" s="62"/>
      <c r="R272" s="62"/>
      <c r="S272" s="258"/>
      <c r="T272" s="248" t="str">
        <f t="shared" si="40"/>
        <v/>
      </c>
      <c r="U272" s="249" t="str">
        <f t="shared" si="41"/>
        <v/>
      </c>
      <c r="V272" s="294" t="str">
        <f t="shared" si="37"/>
        <v/>
      </c>
      <c r="W272" s="294" t="str">
        <f>IF(((E272="")+(F272="")),"",IF(VLOOKUP(F272,Mannschaften!$A$1:$B$54,2,FALSE)&lt;&gt;E272,"Reiter Mannschaften füllen",""))</f>
        <v/>
      </c>
      <c r="X272" s="248" t="str">
        <f>IF(ISBLANK(C272),"",IF((U272&gt;(LOOKUP(E272,WKNrListe,Übersicht!$O$7:$O$46)))+(U272&lt;(LOOKUP(E272,WKNrListe,Übersicht!$P$7:$P$46))),"JG falsch",""))</f>
        <v/>
      </c>
      <c r="Y272" s="255" t="str">
        <f>IF((A272="")*(B272=""),"",IF(ISERROR(MATCH(E272,WKNrListe,0)),"WK falsch",LOOKUP(E272,WKNrListe,Übersicht!$B$7:$B$46)))</f>
        <v/>
      </c>
      <c r="Z272" s="269" t="str">
        <f>IF(((AJ272=0)*(AH272&lt;&gt;"")*(AK272="-"))+((AJ272&lt;&gt;0)*(AH272&lt;&gt;"")*(AK272="-")),IF(AG272="X",Übersicht!$C$70,Übersicht!$C$69),"-")</f>
        <v>-</v>
      </c>
      <c r="AA272" s="252" t="str">
        <f>IF((($A272="")*($B272=""))+((MID($Y272,1,4)&lt;&gt;"Wahl")*(Deckblatt!$C$14='WK-Vorlagen'!$C$82))+(Deckblatt!$C$14&lt;&gt;'WK-Vorlagen'!$C$82),"",IF(ISERROR(MATCH(VALUE(MID(G272,1,2)),Schwierigkeitsstufen!$G$7:$G$19,0)),"Gerät falsch",LOOKUP(VALUE(MID(G272,1,2)),Schwierigkeitsstufen!$G$7:$G$19,Schwierigkeitsstufen!$H$7:$H$19)))</f>
        <v/>
      </c>
      <c r="AB272" s="250" t="str">
        <f>IF((($A272="")*($B272=""))+((MID($Y272,1,4)&lt;&gt;"Wahl")*(Deckblatt!$C$14='WK-Vorlagen'!$C$82))+(Deckblatt!$C$14&lt;&gt;'WK-Vorlagen'!$C$82),"",IF(ISERROR(MATCH(VALUE(MID(H272,1,2)),Schwierigkeitsstufen!$G$7:$G$19,0)),"Gerät falsch",LOOKUP(VALUE(MID(H272,1,2)),Schwierigkeitsstufen!$G$7:$G$19,Schwierigkeitsstufen!$H$7:$H$19)))</f>
        <v/>
      </c>
      <c r="AC272" s="250" t="str">
        <f>IF((($A272="")*($B272=""))+((MID($Y272,1,4)&lt;&gt;"Wahl")*(Deckblatt!$C$14='WK-Vorlagen'!$C$82))+(Deckblatt!$C$14&lt;&gt;'WK-Vorlagen'!$C$82),"",IF(ISERROR(MATCH(VALUE(MID(I272,1,2)),Schwierigkeitsstufen!$G$7:$G$19,0)),"Gerät falsch",LOOKUP(VALUE(MID(I272,1,2)),Schwierigkeitsstufen!$G$7:$G$19,Schwierigkeitsstufen!$H$7:$H$19)))</f>
        <v/>
      </c>
      <c r="AD272" s="251" t="str">
        <f>IF((($A272="")*($B272=""))+((MID($Y272,1,4)&lt;&gt;"Wahl")*(Deckblatt!$C$14='WK-Vorlagen'!$C$82))+(Deckblatt!$C$14&lt;&gt;'WK-Vorlagen'!$C$82),"",IF(ISERROR(MATCH(VALUE(MID(J272,1,2)),Schwierigkeitsstufen!$G$7:$G$19,0)),"Gerät falsch",LOOKUP(VALUE(MID(J272,1,2)),Schwierigkeitsstufen!$G$7:$G$19,Schwierigkeitsstufen!$H$7:$H$19)))</f>
        <v/>
      </c>
      <c r="AE272" s="211"/>
      <c r="AG272" s="221" t="str">
        <f t="shared" si="36"/>
        <v/>
      </c>
      <c r="AH272" s="222" t="str">
        <f t="shared" si="38"/>
        <v/>
      </c>
      <c r="AI272" s="220">
        <f t="shared" si="43"/>
        <v>4</v>
      </c>
      <c r="AJ272" s="222">
        <f t="shared" si="39"/>
        <v>0</v>
      </c>
      <c r="AK272" s="299" t="str">
        <f>IF(ISERROR(LOOKUP(E272,WKNrListe,Übersicht!$R$7:$R$46)),"-",LOOKUP(E272,WKNrListe,Übersicht!$R$7:$R$46))</f>
        <v>-</v>
      </c>
      <c r="AL272" s="299" t="str">
        <f t="shared" si="42"/>
        <v>-</v>
      </c>
      <c r="AM272" s="303"/>
      <c r="AN272" s="174" t="str">
        <f t="shared" si="35"/>
        <v>Leer</v>
      </c>
    </row>
    <row r="273" spans="1:40" s="174" customFormat="1" ht="15" customHeight="1">
      <c r="A273" s="63"/>
      <c r="B273" s="63"/>
      <c r="C273" s="84"/>
      <c r="D273" s="85"/>
      <c r="E273" s="62"/>
      <c r="F273" s="62"/>
      <c r="G273" s="62"/>
      <c r="H273" s="62"/>
      <c r="I273" s="62"/>
      <c r="J273" s="62"/>
      <c r="K273" s="62"/>
      <c r="L273" s="62"/>
      <c r="M273" s="62"/>
      <c r="N273" s="62"/>
      <c r="O273" s="62"/>
      <c r="P273" s="62"/>
      <c r="Q273" s="62"/>
      <c r="R273" s="62"/>
      <c r="S273" s="258"/>
      <c r="T273" s="248" t="str">
        <f t="shared" si="40"/>
        <v/>
      </c>
      <c r="U273" s="249" t="str">
        <f t="shared" si="41"/>
        <v/>
      </c>
      <c r="V273" s="294" t="str">
        <f t="shared" si="37"/>
        <v/>
      </c>
      <c r="W273" s="294" t="str">
        <f>IF(((E273="")+(F273="")),"",IF(VLOOKUP(F273,Mannschaften!$A$1:$B$54,2,FALSE)&lt;&gt;E273,"Reiter Mannschaften füllen",""))</f>
        <v/>
      </c>
      <c r="X273" s="248" t="str">
        <f>IF(ISBLANK(C273),"",IF((U273&gt;(LOOKUP(E273,WKNrListe,Übersicht!$O$7:$O$46)))+(U273&lt;(LOOKUP(E273,WKNrListe,Übersicht!$P$7:$P$46))),"JG falsch",""))</f>
        <v/>
      </c>
      <c r="Y273" s="255" t="str">
        <f>IF((A273="")*(B273=""),"",IF(ISERROR(MATCH(E273,WKNrListe,0)),"WK falsch",LOOKUP(E273,WKNrListe,Übersicht!$B$7:$B$46)))</f>
        <v/>
      </c>
      <c r="Z273" s="269" t="str">
        <f>IF(((AJ273=0)*(AH273&lt;&gt;"")*(AK273="-"))+((AJ273&lt;&gt;0)*(AH273&lt;&gt;"")*(AK273="-")),IF(AG273="X",Übersicht!$C$70,Übersicht!$C$69),"-")</f>
        <v>-</v>
      </c>
      <c r="AA273" s="252" t="str">
        <f>IF((($A273="")*($B273=""))+((MID($Y273,1,4)&lt;&gt;"Wahl")*(Deckblatt!$C$14='WK-Vorlagen'!$C$82))+(Deckblatt!$C$14&lt;&gt;'WK-Vorlagen'!$C$82),"",IF(ISERROR(MATCH(VALUE(MID(G273,1,2)),Schwierigkeitsstufen!$G$7:$G$19,0)),"Gerät falsch",LOOKUP(VALUE(MID(G273,1,2)),Schwierigkeitsstufen!$G$7:$G$19,Schwierigkeitsstufen!$H$7:$H$19)))</f>
        <v/>
      </c>
      <c r="AB273" s="250" t="str">
        <f>IF((($A273="")*($B273=""))+((MID($Y273,1,4)&lt;&gt;"Wahl")*(Deckblatt!$C$14='WK-Vorlagen'!$C$82))+(Deckblatt!$C$14&lt;&gt;'WK-Vorlagen'!$C$82),"",IF(ISERROR(MATCH(VALUE(MID(H273,1,2)),Schwierigkeitsstufen!$G$7:$G$19,0)),"Gerät falsch",LOOKUP(VALUE(MID(H273,1,2)),Schwierigkeitsstufen!$G$7:$G$19,Schwierigkeitsstufen!$H$7:$H$19)))</f>
        <v/>
      </c>
      <c r="AC273" s="250" t="str">
        <f>IF((($A273="")*($B273=""))+((MID($Y273,1,4)&lt;&gt;"Wahl")*(Deckblatt!$C$14='WK-Vorlagen'!$C$82))+(Deckblatt!$C$14&lt;&gt;'WK-Vorlagen'!$C$82),"",IF(ISERROR(MATCH(VALUE(MID(I273,1,2)),Schwierigkeitsstufen!$G$7:$G$19,0)),"Gerät falsch",LOOKUP(VALUE(MID(I273,1,2)),Schwierigkeitsstufen!$G$7:$G$19,Schwierigkeitsstufen!$H$7:$H$19)))</f>
        <v/>
      </c>
      <c r="AD273" s="251" t="str">
        <f>IF((($A273="")*($B273=""))+((MID($Y273,1,4)&lt;&gt;"Wahl")*(Deckblatt!$C$14='WK-Vorlagen'!$C$82))+(Deckblatt!$C$14&lt;&gt;'WK-Vorlagen'!$C$82),"",IF(ISERROR(MATCH(VALUE(MID(J273,1,2)),Schwierigkeitsstufen!$G$7:$G$19,0)),"Gerät falsch",LOOKUP(VALUE(MID(J273,1,2)),Schwierigkeitsstufen!$G$7:$G$19,Schwierigkeitsstufen!$H$7:$H$19)))</f>
        <v/>
      </c>
      <c r="AE273" s="211"/>
      <c r="AG273" s="221" t="str">
        <f t="shared" si="36"/>
        <v/>
      </c>
      <c r="AH273" s="222" t="str">
        <f t="shared" si="38"/>
        <v/>
      </c>
      <c r="AI273" s="220">
        <f t="shared" si="43"/>
        <v>4</v>
      </c>
      <c r="AJ273" s="222">
        <f t="shared" si="39"/>
        <v>0</v>
      </c>
      <c r="AK273" s="299" t="str">
        <f>IF(ISERROR(LOOKUP(E273,WKNrListe,Übersicht!$R$7:$R$46)),"-",LOOKUP(E273,WKNrListe,Übersicht!$R$7:$R$46))</f>
        <v>-</v>
      </c>
      <c r="AL273" s="299" t="str">
        <f t="shared" si="42"/>
        <v>-</v>
      </c>
      <c r="AM273" s="303"/>
      <c r="AN273" s="174" t="str">
        <f t="shared" si="35"/>
        <v>Leer</v>
      </c>
    </row>
    <row r="274" spans="1:40" s="174" customFormat="1" ht="15" customHeight="1">
      <c r="A274" s="63"/>
      <c r="B274" s="63"/>
      <c r="C274" s="84"/>
      <c r="D274" s="85"/>
      <c r="E274" s="62"/>
      <c r="F274" s="62"/>
      <c r="G274" s="62"/>
      <c r="H274" s="62"/>
      <c r="I274" s="62"/>
      <c r="J274" s="62"/>
      <c r="K274" s="62"/>
      <c r="L274" s="62"/>
      <c r="M274" s="62"/>
      <c r="N274" s="62"/>
      <c r="O274" s="62"/>
      <c r="P274" s="62"/>
      <c r="Q274" s="62"/>
      <c r="R274" s="62"/>
      <c r="S274" s="258"/>
      <c r="T274" s="248" t="str">
        <f t="shared" si="40"/>
        <v/>
      </c>
      <c r="U274" s="249" t="str">
        <f t="shared" si="41"/>
        <v/>
      </c>
      <c r="V274" s="294" t="str">
        <f t="shared" si="37"/>
        <v/>
      </c>
      <c r="W274" s="294" t="str">
        <f>IF(((E274="")+(F274="")),"",IF(VLOOKUP(F274,Mannschaften!$A$1:$B$54,2,FALSE)&lt;&gt;E274,"Reiter Mannschaften füllen",""))</f>
        <v/>
      </c>
      <c r="X274" s="248" t="str">
        <f>IF(ISBLANK(C274),"",IF((U274&gt;(LOOKUP(E274,WKNrListe,Übersicht!$O$7:$O$46)))+(U274&lt;(LOOKUP(E274,WKNrListe,Übersicht!$P$7:$P$46))),"JG falsch",""))</f>
        <v/>
      </c>
      <c r="Y274" s="255" t="str">
        <f>IF((A274="")*(B274=""),"",IF(ISERROR(MATCH(E274,WKNrListe,0)),"WK falsch",LOOKUP(E274,WKNrListe,Übersicht!$B$7:$B$46)))</f>
        <v/>
      </c>
      <c r="Z274" s="269" t="str">
        <f>IF(((AJ274=0)*(AH274&lt;&gt;"")*(AK274="-"))+((AJ274&lt;&gt;0)*(AH274&lt;&gt;"")*(AK274="-")),IF(AG274="X",Übersicht!$C$70,Übersicht!$C$69),"-")</f>
        <v>-</v>
      </c>
      <c r="AA274" s="252" t="str">
        <f>IF((($A274="")*($B274=""))+((MID($Y274,1,4)&lt;&gt;"Wahl")*(Deckblatt!$C$14='WK-Vorlagen'!$C$82))+(Deckblatt!$C$14&lt;&gt;'WK-Vorlagen'!$C$82),"",IF(ISERROR(MATCH(VALUE(MID(G274,1,2)),Schwierigkeitsstufen!$G$7:$G$19,0)),"Gerät falsch",LOOKUP(VALUE(MID(G274,1,2)),Schwierigkeitsstufen!$G$7:$G$19,Schwierigkeitsstufen!$H$7:$H$19)))</f>
        <v/>
      </c>
      <c r="AB274" s="250" t="str">
        <f>IF((($A274="")*($B274=""))+((MID($Y274,1,4)&lt;&gt;"Wahl")*(Deckblatt!$C$14='WK-Vorlagen'!$C$82))+(Deckblatt!$C$14&lt;&gt;'WK-Vorlagen'!$C$82),"",IF(ISERROR(MATCH(VALUE(MID(H274,1,2)),Schwierigkeitsstufen!$G$7:$G$19,0)),"Gerät falsch",LOOKUP(VALUE(MID(H274,1,2)),Schwierigkeitsstufen!$G$7:$G$19,Schwierigkeitsstufen!$H$7:$H$19)))</f>
        <v/>
      </c>
      <c r="AC274" s="250" t="str">
        <f>IF((($A274="")*($B274=""))+((MID($Y274,1,4)&lt;&gt;"Wahl")*(Deckblatt!$C$14='WK-Vorlagen'!$C$82))+(Deckblatt!$C$14&lt;&gt;'WK-Vorlagen'!$C$82),"",IF(ISERROR(MATCH(VALUE(MID(I274,1,2)),Schwierigkeitsstufen!$G$7:$G$19,0)),"Gerät falsch",LOOKUP(VALUE(MID(I274,1,2)),Schwierigkeitsstufen!$G$7:$G$19,Schwierigkeitsstufen!$H$7:$H$19)))</f>
        <v/>
      </c>
      <c r="AD274" s="251" t="str">
        <f>IF((($A274="")*($B274=""))+((MID($Y274,1,4)&lt;&gt;"Wahl")*(Deckblatt!$C$14='WK-Vorlagen'!$C$82))+(Deckblatt!$C$14&lt;&gt;'WK-Vorlagen'!$C$82),"",IF(ISERROR(MATCH(VALUE(MID(J274,1,2)),Schwierigkeitsstufen!$G$7:$G$19,0)),"Gerät falsch",LOOKUP(VALUE(MID(J274,1,2)),Schwierigkeitsstufen!$G$7:$G$19,Schwierigkeitsstufen!$H$7:$H$19)))</f>
        <v/>
      </c>
      <c r="AE274" s="211"/>
      <c r="AG274" s="221" t="str">
        <f t="shared" si="36"/>
        <v/>
      </c>
      <c r="AH274" s="222" t="str">
        <f t="shared" si="38"/>
        <v/>
      </c>
      <c r="AI274" s="220">
        <f t="shared" si="43"/>
        <v>4</v>
      </c>
      <c r="AJ274" s="222">
        <f t="shared" si="39"/>
        <v>0</v>
      </c>
      <c r="AK274" s="299" t="str">
        <f>IF(ISERROR(LOOKUP(E274,WKNrListe,Übersicht!$R$7:$R$46)),"-",LOOKUP(E274,WKNrListe,Übersicht!$R$7:$R$46))</f>
        <v>-</v>
      </c>
      <c r="AL274" s="299" t="str">
        <f t="shared" si="42"/>
        <v>-</v>
      </c>
      <c r="AM274" s="303"/>
      <c r="AN274" s="174" t="str">
        <f t="shared" si="35"/>
        <v>Leer</v>
      </c>
    </row>
    <row r="275" spans="1:40" s="174" customFormat="1" ht="15" customHeight="1">
      <c r="A275" s="63"/>
      <c r="B275" s="63"/>
      <c r="C275" s="84"/>
      <c r="D275" s="85"/>
      <c r="E275" s="62"/>
      <c r="F275" s="62"/>
      <c r="G275" s="62"/>
      <c r="H275" s="62"/>
      <c r="I275" s="62"/>
      <c r="J275" s="62"/>
      <c r="K275" s="62"/>
      <c r="L275" s="62"/>
      <c r="M275" s="62"/>
      <c r="N275" s="62"/>
      <c r="O275" s="62"/>
      <c r="P275" s="62"/>
      <c r="Q275" s="62"/>
      <c r="R275" s="62"/>
      <c r="S275" s="258"/>
      <c r="T275" s="248" t="str">
        <f t="shared" si="40"/>
        <v/>
      </c>
      <c r="U275" s="249" t="str">
        <f t="shared" si="41"/>
        <v/>
      </c>
      <c r="V275" s="294" t="str">
        <f t="shared" si="37"/>
        <v/>
      </c>
      <c r="W275" s="294" t="str">
        <f>IF(((E275="")+(F275="")),"",IF(VLOOKUP(F275,Mannschaften!$A$1:$B$54,2,FALSE)&lt;&gt;E275,"Reiter Mannschaften füllen",""))</f>
        <v/>
      </c>
      <c r="X275" s="248" t="str">
        <f>IF(ISBLANK(C275),"",IF((U275&gt;(LOOKUP(E275,WKNrListe,Übersicht!$O$7:$O$46)))+(U275&lt;(LOOKUP(E275,WKNrListe,Übersicht!$P$7:$P$46))),"JG falsch",""))</f>
        <v/>
      </c>
      <c r="Y275" s="255" t="str">
        <f>IF((A275="")*(B275=""),"",IF(ISERROR(MATCH(E275,WKNrListe,0)),"WK falsch",LOOKUP(E275,WKNrListe,Übersicht!$B$7:$B$46)))</f>
        <v/>
      </c>
      <c r="Z275" s="269" t="str">
        <f>IF(((AJ275=0)*(AH275&lt;&gt;"")*(AK275="-"))+((AJ275&lt;&gt;0)*(AH275&lt;&gt;"")*(AK275="-")),IF(AG275="X",Übersicht!$C$70,Übersicht!$C$69),"-")</f>
        <v>-</v>
      </c>
      <c r="AA275" s="252" t="str">
        <f>IF((($A275="")*($B275=""))+((MID($Y275,1,4)&lt;&gt;"Wahl")*(Deckblatt!$C$14='WK-Vorlagen'!$C$82))+(Deckblatt!$C$14&lt;&gt;'WK-Vorlagen'!$C$82),"",IF(ISERROR(MATCH(VALUE(MID(G275,1,2)),Schwierigkeitsstufen!$G$7:$G$19,0)),"Gerät falsch",LOOKUP(VALUE(MID(G275,1,2)),Schwierigkeitsstufen!$G$7:$G$19,Schwierigkeitsstufen!$H$7:$H$19)))</f>
        <v/>
      </c>
      <c r="AB275" s="250" t="str">
        <f>IF((($A275="")*($B275=""))+((MID($Y275,1,4)&lt;&gt;"Wahl")*(Deckblatt!$C$14='WK-Vorlagen'!$C$82))+(Deckblatt!$C$14&lt;&gt;'WK-Vorlagen'!$C$82),"",IF(ISERROR(MATCH(VALUE(MID(H275,1,2)),Schwierigkeitsstufen!$G$7:$G$19,0)),"Gerät falsch",LOOKUP(VALUE(MID(H275,1,2)),Schwierigkeitsstufen!$G$7:$G$19,Schwierigkeitsstufen!$H$7:$H$19)))</f>
        <v/>
      </c>
      <c r="AC275" s="250" t="str">
        <f>IF((($A275="")*($B275=""))+((MID($Y275,1,4)&lt;&gt;"Wahl")*(Deckblatt!$C$14='WK-Vorlagen'!$C$82))+(Deckblatt!$C$14&lt;&gt;'WK-Vorlagen'!$C$82),"",IF(ISERROR(MATCH(VALUE(MID(I275,1,2)),Schwierigkeitsstufen!$G$7:$G$19,0)),"Gerät falsch",LOOKUP(VALUE(MID(I275,1,2)),Schwierigkeitsstufen!$G$7:$G$19,Schwierigkeitsstufen!$H$7:$H$19)))</f>
        <v/>
      </c>
      <c r="AD275" s="251" t="str">
        <f>IF((($A275="")*($B275=""))+((MID($Y275,1,4)&lt;&gt;"Wahl")*(Deckblatt!$C$14='WK-Vorlagen'!$C$82))+(Deckblatt!$C$14&lt;&gt;'WK-Vorlagen'!$C$82),"",IF(ISERROR(MATCH(VALUE(MID(J275,1,2)),Schwierigkeitsstufen!$G$7:$G$19,0)),"Gerät falsch",LOOKUP(VALUE(MID(J275,1,2)),Schwierigkeitsstufen!$G$7:$G$19,Schwierigkeitsstufen!$H$7:$H$19)))</f>
        <v/>
      </c>
      <c r="AE275" s="211"/>
      <c r="AG275" s="221" t="str">
        <f t="shared" si="36"/>
        <v/>
      </c>
      <c r="AH275" s="222" t="str">
        <f t="shared" si="38"/>
        <v/>
      </c>
      <c r="AI275" s="220">
        <f t="shared" si="43"/>
        <v>4</v>
      </c>
      <c r="AJ275" s="222">
        <f t="shared" si="39"/>
        <v>0</v>
      </c>
      <c r="AK275" s="299" t="str">
        <f>IF(ISERROR(LOOKUP(E275,WKNrListe,Übersicht!$R$7:$R$46)),"-",LOOKUP(E275,WKNrListe,Übersicht!$R$7:$R$46))</f>
        <v>-</v>
      </c>
      <c r="AL275" s="299" t="str">
        <f t="shared" si="42"/>
        <v>-</v>
      </c>
      <c r="AM275" s="303"/>
      <c r="AN275" s="174" t="str">
        <f t="shared" si="35"/>
        <v>Leer</v>
      </c>
    </row>
    <row r="276" spans="1:40" s="174" customFormat="1" ht="15" customHeight="1">
      <c r="A276" s="63"/>
      <c r="B276" s="63"/>
      <c r="C276" s="84"/>
      <c r="D276" s="85"/>
      <c r="E276" s="62"/>
      <c r="F276" s="62"/>
      <c r="G276" s="62"/>
      <c r="H276" s="62"/>
      <c r="I276" s="62"/>
      <c r="J276" s="62"/>
      <c r="K276" s="62"/>
      <c r="L276" s="62"/>
      <c r="M276" s="62"/>
      <c r="N276" s="62"/>
      <c r="O276" s="62"/>
      <c r="P276" s="62"/>
      <c r="Q276" s="62"/>
      <c r="R276" s="62"/>
      <c r="S276" s="258"/>
      <c r="T276" s="248" t="str">
        <f t="shared" si="40"/>
        <v/>
      </c>
      <c r="U276" s="249" t="str">
        <f t="shared" si="41"/>
        <v/>
      </c>
      <c r="V276" s="294" t="str">
        <f t="shared" si="37"/>
        <v/>
      </c>
      <c r="W276" s="294" t="str">
        <f>IF(((E276="")+(F276="")),"",IF(VLOOKUP(F276,Mannschaften!$A$1:$B$54,2,FALSE)&lt;&gt;E276,"Reiter Mannschaften füllen",""))</f>
        <v/>
      </c>
      <c r="X276" s="248" t="str">
        <f>IF(ISBLANK(C276),"",IF((U276&gt;(LOOKUP(E276,WKNrListe,Übersicht!$O$7:$O$46)))+(U276&lt;(LOOKUP(E276,WKNrListe,Übersicht!$P$7:$P$46))),"JG falsch",""))</f>
        <v/>
      </c>
      <c r="Y276" s="255" t="str">
        <f>IF((A276="")*(B276=""),"",IF(ISERROR(MATCH(E276,WKNrListe,0)),"WK falsch",LOOKUP(E276,WKNrListe,Übersicht!$B$7:$B$46)))</f>
        <v/>
      </c>
      <c r="Z276" s="269" t="str">
        <f>IF(((AJ276=0)*(AH276&lt;&gt;"")*(AK276="-"))+((AJ276&lt;&gt;0)*(AH276&lt;&gt;"")*(AK276="-")),IF(AG276="X",Übersicht!$C$70,Übersicht!$C$69),"-")</f>
        <v>-</v>
      </c>
      <c r="AA276" s="252" t="str">
        <f>IF((($A276="")*($B276=""))+((MID($Y276,1,4)&lt;&gt;"Wahl")*(Deckblatt!$C$14='WK-Vorlagen'!$C$82))+(Deckblatt!$C$14&lt;&gt;'WK-Vorlagen'!$C$82),"",IF(ISERROR(MATCH(VALUE(MID(G276,1,2)),Schwierigkeitsstufen!$G$7:$G$19,0)),"Gerät falsch",LOOKUP(VALUE(MID(G276,1,2)),Schwierigkeitsstufen!$G$7:$G$19,Schwierigkeitsstufen!$H$7:$H$19)))</f>
        <v/>
      </c>
      <c r="AB276" s="250" t="str">
        <f>IF((($A276="")*($B276=""))+((MID($Y276,1,4)&lt;&gt;"Wahl")*(Deckblatt!$C$14='WK-Vorlagen'!$C$82))+(Deckblatt!$C$14&lt;&gt;'WK-Vorlagen'!$C$82),"",IF(ISERROR(MATCH(VALUE(MID(H276,1,2)),Schwierigkeitsstufen!$G$7:$G$19,0)),"Gerät falsch",LOOKUP(VALUE(MID(H276,1,2)),Schwierigkeitsstufen!$G$7:$G$19,Schwierigkeitsstufen!$H$7:$H$19)))</f>
        <v/>
      </c>
      <c r="AC276" s="250" t="str">
        <f>IF((($A276="")*($B276=""))+((MID($Y276,1,4)&lt;&gt;"Wahl")*(Deckblatt!$C$14='WK-Vorlagen'!$C$82))+(Deckblatt!$C$14&lt;&gt;'WK-Vorlagen'!$C$82),"",IF(ISERROR(MATCH(VALUE(MID(I276,1,2)),Schwierigkeitsstufen!$G$7:$G$19,0)),"Gerät falsch",LOOKUP(VALUE(MID(I276,1,2)),Schwierigkeitsstufen!$G$7:$G$19,Schwierigkeitsstufen!$H$7:$H$19)))</f>
        <v/>
      </c>
      <c r="AD276" s="251" t="str">
        <f>IF((($A276="")*($B276=""))+((MID($Y276,1,4)&lt;&gt;"Wahl")*(Deckblatt!$C$14='WK-Vorlagen'!$C$82))+(Deckblatt!$C$14&lt;&gt;'WK-Vorlagen'!$C$82),"",IF(ISERROR(MATCH(VALUE(MID(J276,1,2)),Schwierigkeitsstufen!$G$7:$G$19,0)),"Gerät falsch",LOOKUP(VALUE(MID(J276,1,2)),Schwierigkeitsstufen!$G$7:$G$19,Schwierigkeitsstufen!$H$7:$H$19)))</f>
        <v/>
      </c>
      <c r="AE276" s="211"/>
      <c r="AG276" s="221" t="str">
        <f t="shared" si="36"/>
        <v/>
      </c>
      <c r="AH276" s="222" t="str">
        <f t="shared" si="38"/>
        <v/>
      </c>
      <c r="AI276" s="220">
        <f t="shared" si="43"/>
        <v>4</v>
      </c>
      <c r="AJ276" s="222">
        <f t="shared" si="39"/>
        <v>0</v>
      </c>
      <c r="AK276" s="299" t="str">
        <f>IF(ISERROR(LOOKUP(E276,WKNrListe,Übersicht!$R$7:$R$46)),"-",LOOKUP(E276,WKNrListe,Übersicht!$R$7:$R$46))</f>
        <v>-</v>
      </c>
      <c r="AL276" s="299" t="str">
        <f t="shared" si="42"/>
        <v>-</v>
      </c>
      <c r="AM276" s="303"/>
      <c r="AN276" s="174" t="str">
        <f t="shared" si="35"/>
        <v>Leer</v>
      </c>
    </row>
    <row r="277" spans="1:40" s="174" customFormat="1" ht="15" customHeight="1">
      <c r="A277" s="63"/>
      <c r="B277" s="63"/>
      <c r="C277" s="84"/>
      <c r="D277" s="85"/>
      <c r="E277" s="62"/>
      <c r="F277" s="62"/>
      <c r="G277" s="62"/>
      <c r="H277" s="62"/>
      <c r="I277" s="62"/>
      <c r="J277" s="62"/>
      <c r="K277" s="62"/>
      <c r="L277" s="62"/>
      <c r="M277" s="62"/>
      <c r="N277" s="62"/>
      <c r="O277" s="62"/>
      <c r="P277" s="62"/>
      <c r="Q277" s="62"/>
      <c r="R277" s="62"/>
      <c r="S277" s="258"/>
      <c r="T277" s="248" t="str">
        <f t="shared" si="40"/>
        <v/>
      </c>
      <c r="U277" s="249" t="str">
        <f t="shared" si="41"/>
        <v/>
      </c>
      <c r="V277" s="294" t="str">
        <f t="shared" si="37"/>
        <v/>
      </c>
      <c r="W277" s="294" t="str">
        <f>IF(((E277="")+(F277="")),"",IF(VLOOKUP(F277,Mannschaften!$A$1:$B$54,2,FALSE)&lt;&gt;E277,"Reiter Mannschaften füllen",""))</f>
        <v/>
      </c>
      <c r="X277" s="248" t="str">
        <f>IF(ISBLANK(C277),"",IF((U277&gt;(LOOKUP(E277,WKNrListe,Übersicht!$O$7:$O$46)))+(U277&lt;(LOOKUP(E277,WKNrListe,Übersicht!$P$7:$P$46))),"JG falsch",""))</f>
        <v/>
      </c>
      <c r="Y277" s="255" t="str">
        <f>IF((A277="")*(B277=""),"",IF(ISERROR(MATCH(E277,WKNrListe,0)),"WK falsch",LOOKUP(E277,WKNrListe,Übersicht!$B$7:$B$46)))</f>
        <v/>
      </c>
      <c r="Z277" s="269" t="str">
        <f>IF(((AJ277=0)*(AH277&lt;&gt;"")*(AK277="-"))+((AJ277&lt;&gt;0)*(AH277&lt;&gt;"")*(AK277="-")),IF(AG277="X",Übersicht!$C$70,Übersicht!$C$69),"-")</f>
        <v>-</v>
      </c>
      <c r="AA277" s="252" t="str">
        <f>IF((($A277="")*($B277=""))+((MID($Y277,1,4)&lt;&gt;"Wahl")*(Deckblatt!$C$14='WK-Vorlagen'!$C$82))+(Deckblatt!$C$14&lt;&gt;'WK-Vorlagen'!$C$82),"",IF(ISERROR(MATCH(VALUE(MID(G277,1,2)),Schwierigkeitsstufen!$G$7:$G$19,0)),"Gerät falsch",LOOKUP(VALUE(MID(G277,1,2)),Schwierigkeitsstufen!$G$7:$G$19,Schwierigkeitsstufen!$H$7:$H$19)))</f>
        <v/>
      </c>
      <c r="AB277" s="250" t="str">
        <f>IF((($A277="")*($B277=""))+((MID($Y277,1,4)&lt;&gt;"Wahl")*(Deckblatt!$C$14='WK-Vorlagen'!$C$82))+(Deckblatt!$C$14&lt;&gt;'WK-Vorlagen'!$C$82),"",IF(ISERROR(MATCH(VALUE(MID(H277,1,2)),Schwierigkeitsstufen!$G$7:$G$19,0)),"Gerät falsch",LOOKUP(VALUE(MID(H277,1,2)),Schwierigkeitsstufen!$G$7:$G$19,Schwierigkeitsstufen!$H$7:$H$19)))</f>
        <v/>
      </c>
      <c r="AC277" s="250" t="str">
        <f>IF((($A277="")*($B277=""))+((MID($Y277,1,4)&lt;&gt;"Wahl")*(Deckblatt!$C$14='WK-Vorlagen'!$C$82))+(Deckblatt!$C$14&lt;&gt;'WK-Vorlagen'!$C$82),"",IF(ISERROR(MATCH(VALUE(MID(I277,1,2)),Schwierigkeitsstufen!$G$7:$G$19,0)),"Gerät falsch",LOOKUP(VALUE(MID(I277,1,2)),Schwierigkeitsstufen!$G$7:$G$19,Schwierigkeitsstufen!$H$7:$H$19)))</f>
        <v/>
      </c>
      <c r="AD277" s="251" t="str">
        <f>IF((($A277="")*($B277=""))+((MID($Y277,1,4)&lt;&gt;"Wahl")*(Deckblatt!$C$14='WK-Vorlagen'!$C$82))+(Deckblatt!$C$14&lt;&gt;'WK-Vorlagen'!$C$82),"",IF(ISERROR(MATCH(VALUE(MID(J277,1,2)),Schwierigkeitsstufen!$G$7:$G$19,0)),"Gerät falsch",LOOKUP(VALUE(MID(J277,1,2)),Schwierigkeitsstufen!$G$7:$G$19,Schwierigkeitsstufen!$H$7:$H$19)))</f>
        <v/>
      </c>
      <c r="AE277" s="211"/>
      <c r="AG277" s="221" t="str">
        <f t="shared" si="36"/>
        <v/>
      </c>
      <c r="AH277" s="222" t="str">
        <f t="shared" si="38"/>
        <v/>
      </c>
      <c r="AI277" s="220">
        <f t="shared" si="43"/>
        <v>4</v>
      </c>
      <c r="AJ277" s="222">
        <f t="shared" si="39"/>
        <v>0</v>
      </c>
      <c r="AK277" s="299" t="str">
        <f>IF(ISERROR(LOOKUP(E277,WKNrListe,Übersicht!$R$7:$R$46)),"-",LOOKUP(E277,WKNrListe,Übersicht!$R$7:$R$46))</f>
        <v>-</v>
      </c>
      <c r="AL277" s="299" t="str">
        <f t="shared" si="42"/>
        <v>-</v>
      </c>
      <c r="AM277" s="303"/>
      <c r="AN277" s="174" t="str">
        <f t="shared" si="35"/>
        <v>Leer</v>
      </c>
    </row>
    <row r="278" spans="1:40" s="174" customFormat="1" ht="15" customHeight="1">
      <c r="A278" s="63"/>
      <c r="B278" s="63"/>
      <c r="C278" s="84"/>
      <c r="D278" s="85"/>
      <c r="E278" s="62"/>
      <c r="F278" s="62"/>
      <c r="G278" s="62"/>
      <c r="H278" s="62"/>
      <c r="I278" s="62"/>
      <c r="J278" s="62"/>
      <c r="K278" s="62"/>
      <c r="L278" s="62"/>
      <c r="M278" s="62"/>
      <c r="N278" s="62"/>
      <c r="O278" s="62"/>
      <c r="P278" s="62"/>
      <c r="Q278" s="62"/>
      <c r="R278" s="62"/>
      <c r="S278" s="258"/>
      <c r="T278" s="248" t="str">
        <f t="shared" si="40"/>
        <v/>
      </c>
      <c r="U278" s="249" t="str">
        <f t="shared" si="41"/>
        <v/>
      </c>
      <c r="V278" s="294" t="str">
        <f t="shared" si="37"/>
        <v/>
      </c>
      <c r="W278" s="294" t="str">
        <f>IF(((E278="")+(F278="")),"",IF(VLOOKUP(F278,Mannschaften!$A$1:$B$54,2,FALSE)&lt;&gt;E278,"Reiter Mannschaften füllen",""))</f>
        <v/>
      </c>
      <c r="X278" s="248" t="str">
        <f>IF(ISBLANK(C278),"",IF((U278&gt;(LOOKUP(E278,WKNrListe,Übersicht!$O$7:$O$46)))+(U278&lt;(LOOKUP(E278,WKNrListe,Übersicht!$P$7:$P$46))),"JG falsch",""))</f>
        <v/>
      </c>
      <c r="Y278" s="255" t="str">
        <f>IF((A278="")*(B278=""),"",IF(ISERROR(MATCH(E278,WKNrListe,0)),"WK falsch",LOOKUP(E278,WKNrListe,Übersicht!$B$7:$B$46)))</f>
        <v/>
      </c>
      <c r="Z278" s="269" t="str">
        <f>IF(((AJ278=0)*(AH278&lt;&gt;"")*(AK278="-"))+((AJ278&lt;&gt;0)*(AH278&lt;&gt;"")*(AK278="-")),IF(AG278="X",Übersicht!$C$70,Übersicht!$C$69),"-")</f>
        <v>-</v>
      </c>
      <c r="AA278" s="252" t="str">
        <f>IF((($A278="")*($B278=""))+((MID($Y278,1,4)&lt;&gt;"Wahl")*(Deckblatt!$C$14='WK-Vorlagen'!$C$82))+(Deckblatt!$C$14&lt;&gt;'WK-Vorlagen'!$C$82),"",IF(ISERROR(MATCH(VALUE(MID(G278,1,2)),Schwierigkeitsstufen!$G$7:$G$19,0)),"Gerät falsch",LOOKUP(VALUE(MID(G278,1,2)),Schwierigkeitsstufen!$G$7:$G$19,Schwierigkeitsstufen!$H$7:$H$19)))</f>
        <v/>
      </c>
      <c r="AB278" s="250" t="str">
        <f>IF((($A278="")*($B278=""))+((MID($Y278,1,4)&lt;&gt;"Wahl")*(Deckblatt!$C$14='WK-Vorlagen'!$C$82))+(Deckblatt!$C$14&lt;&gt;'WK-Vorlagen'!$C$82),"",IF(ISERROR(MATCH(VALUE(MID(H278,1,2)),Schwierigkeitsstufen!$G$7:$G$19,0)),"Gerät falsch",LOOKUP(VALUE(MID(H278,1,2)),Schwierigkeitsstufen!$G$7:$G$19,Schwierigkeitsstufen!$H$7:$H$19)))</f>
        <v/>
      </c>
      <c r="AC278" s="250" t="str">
        <f>IF((($A278="")*($B278=""))+((MID($Y278,1,4)&lt;&gt;"Wahl")*(Deckblatt!$C$14='WK-Vorlagen'!$C$82))+(Deckblatt!$C$14&lt;&gt;'WK-Vorlagen'!$C$82),"",IF(ISERROR(MATCH(VALUE(MID(I278,1,2)),Schwierigkeitsstufen!$G$7:$G$19,0)),"Gerät falsch",LOOKUP(VALUE(MID(I278,1,2)),Schwierigkeitsstufen!$G$7:$G$19,Schwierigkeitsstufen!$H$7:$H$19)))</f>
        <v/>
      </c>
      <c r="AD278" s="251" t="str">
        <f>IF((($A278="")*($B278=""))+((MID($Y278,1,4)&lt;&gt;"Wahl")*(Deckblatt!$C$14='WK-Vorlagen'!$C$82))+(Deckblatt!$C$14&lt;&gt;'WK-Vorlagen'!$C$82),"",IF(ISERROR(MATCH(VALUE(MID(J278,1,2)),Schwierigkeitsstufen!$G$7:$G$19,0)),"Gerät falsch",LOOKUP(VALUE(MID(J278,1,2)),Schwierigkeitsstufen!$G$7:$G$19,Schwierigkeitsstufen!$H$7:$H$19)))</f>
        <v/>
      </c>
      <c r="AE278" s="211"/>
      <c r="AG278" s="221" t="str">
        <f t="shared" si="36"/>
        <v/>
      </c>
      <c r="AH278" s="222" t="str">
        <f t="shared" si="38"/>
        <v/>
      </c>
      <c r="AI278" s="220">
        <f t="shared" si="43"/>
        <v>4</v>
      </c>
      <c r="AJ278" s="222">
        <f t="shared" si="39"/>
        <v>0</v>
      </c>
      <c r="AK278" s="299" t="str">
        <f>IF(ISERROR(LOOKUP(E278,WKNrListe,Übersicht!$R$7:$R$46)),"-",LOOKUP(E278,WKNrListe,Übersicht!$R$7:$R$46))</f>
        <v>-</v>
      </c>
      <c r="AL278" s="299" t="str">
        <f t="shared" si="42"/>
        <v>-</v>
      </c>
      <c r="AM278" s="303"/>
      <c r="AN278" s="174" t="str">
        <f t="shared" si="35"/>
        <v>Leer</v>
      </c>
    </row>
    <row r="279" spans="1:40" s="174" customFormat="1" ht="15" customHeight="1">
      <c r="A279" s="63"/>
      <c r="B279" s="63"/>
      <c r="C279" s="84"/>
      <c r="D279" s="85"/>
      <c r="E279" s="62"/>
      <c r="F279" s="62"/>
      <c r="G279" s="62"/>
      <c r="H279" s="62"/>
      <c r="I279" s="62"/>
      <c r="J279" s="62"/>
      <c r="K279" s="62"/>
      <c r="L279" s="62"/>
      <c r="M279" s="62"/>
      <c r="N279" s="62"/>
      <c r="O279" s="62"/>
      <c r="P279" s="62"/>
      <c r="Q279" s="62"/>
      <c r="R279" s="62"/>
      <c r="S279" s="258"/>
      <c r="T279" s="248" t="str">
        <f t="shared" si="40"/>
        <v/>
      </c>
      <c r="U279" s="249" t="str">
        <f t="shared" si="41"/>
        <v/>
      </c>
      <c r="V279" s="294" t="str">
        <f t="shared" si="37"/>
        <v/>
      </c>
      <c r="W279" s="294" t="str">
        <f>IF(((E279="")+(F279="")),"",IF(VLOOKUP(F279,Mannschaften!$A$1:$B$54,2,FALSE)&lt;&gt;E279,"Reiter Mannschaften füllen",""))</f>
        <v/>
      </c>
      <c r="X279" s="248" t="str">
        <f>IF(ISBLANK(C279),"",IF((U279&gt;(LOOKUP(E279,WKNrListe,Übersicht!$O$7:$O$46)))+(U279&lt;(LOOKUP(E279,WKNrListe,Übersicht!$P$7:$P$46))),"JG falsch",""))</f>
        <v/>
      </c>
      <c r="Y279" s="255" t="str">
        <f>IF((A279="")*(B279=""),"",IF(ISERROR(MATCH(E279,WKNrListe,0)),"WK falsch",LOOKUP(E279,WKNrListe,Übersicht!$B$7:$B$46)))</f>
        <v/>
      </c>
      <c r="Z279" s="269" t="str">
        <f>IF(((AJ279=0)*(AH279&lt;&gt;"")*(AK279="-"))+((AJ279&lt;&gt;0)*(AH279&lt;&gt;"")*(AK279="-")),IF(AG279="X",Übersicht!$C$70,Übersicht!$C$69),"-")</f>
        <v>-</v>
      </c>
      <c r="AA279" s="252" t="str">
        <f>IF((($A279="")*($B279=""))+((MID($Y279,1,4)&lt;&gt;"Wahl")*(Deckblatt!$C$14='WK-Vorlagen'!$C$82))+(Deckblatt!$C$14&lt;&gt;'WK-Vorlagen'!$C$82),"",IF(ISERROR(MATCH(VALUE(MID(G279,1,2)),Schwierigkeitsstufen!$G$7:$G$19,0)),"Gerät falsch",LOOKUP(VALUE(MID(G279,1,2)),Schwierigkeitsstufen!$G$7:$G$19,Schwierigkeitsstufen!$H$7:$H$19)))</f>
        <v/>
      </c>
      <c r="AB279" s="250" t="str">
        <f>IF((($A279="")*($B279=""))+((MID($Y279,1,4)&lt;&gt;"Wahl")*(Deckblatt!$C$14='WK-Vorlagen'!$C$82))+(Deckblatt!$C$14&lt;&gt;'WK-Vorlagen'!$C$82),"",IF(ISERROR(MATCH(VALUE(MID(H279,1,2)),Schwierigkeitsstufen!$G$7:$G$19,0)),"Gerät falsch",LOOKUP(VALUE(MID(H279,1,2)),Schwierigkeitsstufen!$G$7:$G$19,Schwierigkeitsstufen!$H$7:$H$19)))</f>
        <v/>
      </c>
      <c r="AC279" s="250" t="str">
        <f>IF((($A279="")*($B279=""))+((MID($Y279,1,4)&lt;&gt;"Wahl")*(Deckblatt!$C$14='WK-Vorlagen'!$C$82))+(Deckblatt!$C$14&lt;&gt;'WK-Vorlagen'!$C$82),"",IF(ISERROR(MATCH(VALUE(MID(I279,1,2)),Schwierigkeitsstufen!$G$7:$G$19,0)),"Gerät falsch",LOOKUP(VALUE(MID(I279,1,2)),Schwierigkeitsstufen!$G$7:$G$19,Schwierigkeitsstufen!$H$7:$H$19)))</f>
        <v/>
      </c>
      <c r="AD279" s="251" t="str">
        <f>IF((($A279="")*($B279=""))+((MID($Y279,1,4)&lt;&gt;"Wahl")*(Deckblatt!$C$14='WK-Vorlagen'!$C$82))+(Deckblatt!$C$14&lt;&gt;'WK-Vorlagen'!$C$82),"",IF(ISERROR(MATCH(VALUE(MID(J279,1,2)),Schwierigkeitsstufen!$G$7:$G$19,0)),"Gerät falsch",LOOKUP(VALUE(MID(J279,1,2)),Schwierigkeitsstufen!$G$7:$G$19,Schwierigkeitsstufen!$H$7:$H$19)))</f>
        <v/>
      </c>
      <c r="AE279" s="211"/>
      <c r="AG279" s="221" t="str">
        <f t="shared" si="36"/>
        <v/>
      </c>
      <c r="AH279" s="222" t="str">
        <f t="shared" si="38"/>
        <v/>
      </c>
      <c r="AI279" s="220">
        <f t="shared" si="43"/>
        <v>4</v>
      </c>
      <c r="AJ279" s="222">
        <f t="shared" si="39"/>
        <v>0</v>
      </c>
      <c r="AK279" s="299" t="str">
        <f>IF(ISERROR(LOOKUP(E279,WKNrListe,Übersicht!$R$7:$R$46)),"-",LOOKUP(E279,WKNrListe,Übersicht!$R$7:$R$46))</f>
        <v>-</v>
      </c>
      <c r="AL279" s="299" t="str">
        <f t="shared" si="42"/>
        <v>-</v>
      </c>
      <c r="AM279" s="303"/>
      <c r="AN279" s="174" t="str">
        <f t="shared" si="35"/>
        <v>Leer</v>
      </c>
    </row>
    <row r="280" spans="1:40" s="174" customFormat="1" ht="15" customHeight="1">
      <c r="A280" s="63"/>
      <c r="B280" s="63"/>
      <c r="C280" s="84"/>
      <c r="D280" s="85"/>
      <c r="E280" s="62"/>
      <c r="F280" s="62"/>
      <c r="G280" s="62"/>
      <c r="H280" s="62"/>
      <c r="I280" s="62"/>
      <c r="J280" s="62"/>
      <c r="K280" s="62"/>
      <c r="L280" s="62"/>
      <c r="M280" s="62"/>
      <c r="N280" s="62"/>
      <c r="O280" s="62"/>
      <c r="P280" s="62"/>
      <c r="Q280" s="62"/>
      <c r="R280" s="62"/>
      <c r="S280" s="258"/>
      <c r="T280" s="248" t="str">
        <f t="shared" si="40"/>
        <v/>
      </c>
      <c r="U280" s="249" t="str">
        <f t="shared" si="41"/>
        <v/>
      </c>
      <c r="V280" s="294" t="str">
        <f t="shared" si="37"/>
        <v/>
      </c>
      <c r="W280" s="294" t="str">
        <f>IF(((E280="")+(F280="")),"",IF(VLOOKUP(F280,Mannschaften!$A$1:$B$54,2,FALSE)&lt;&gt;E280,"Reiter Mannschaften füllen",""))</f>
        <v/>
      </c>
      <c r="X280" s="248" t="str">
        <f>IF(ISBLANK(C280),"",IF((U280&gt;(LOOKUP(E280,WKNrListe,Übersicht!$O$7:$O$46)))+(U280&lt;(LOOKUP(E280,WKNrListe,Übersicht!$P$7:$P$46))),"JG falsch",""))</f>
        <v/>
      </c>
      <c r="Y280" s="255" t="str">
        <f>IF((A280="")*(B280=""),"",IF(ISERROR(MATCH(E280,WKNrListe,0)),"WK falsch",LOOKUP(E280,WKNrListe,Übersicht!$B$7:$B$46)))</f>
        <v/>
      </c>
      <c r="Z280" s="269" t="str">
        <f>IF(((AJ280=0)*(AH280&lt;&gt;"")*(AK280="-"))+((AJ280&lt;&gt;0)*(AH280&lt;&gt;"")*(AK280="-")),IF(AG280="X",Übersicht!$C$70,Übersicht!$C$69),"-")</f>
        <v>-</v>
      </c>
      <c r="AA280" s="252" t="str">
        <f>IF((($A280="")*($B280=""))+((MID($Y280,1,4)&lt;&gt;"Wahl")*(Deckblatt!$C$14='WK-Vorlagen'!$C$82))+(Deckblatt!$C$14&lt;&gt;'WK-Vorlagen'!$C$82),"",IF(ISERROR(MATCH(VALUE(MID(G280,1,2)),Schwierigkeitsstufen!$G$7:$G$19,0)),"Gerät falsch",LOOKUP(VALUE(MID(G280,1,2)),Schwierigkeitsstufen!$G$7:$G$19,Schwierigkeitsstufen!$H$7:$H$19)))</f>
        <v/>
      </c>
      <c r="AB280" s="250" t="str">
        <f>IF((($A280="")*($B280=""))+((MID($Y280,1,4)&lt;&gt;"Wahl")*(Deckblatt!$C$14='WK-Vorlagen'!$C$82))+(Deckblatt!$C$14&lt;&gt;'WK-Vorlagen'!$C$82),"",IF(ISERROR(MATCH(VALUE(MID(H280,1,2)),Schwierigkeitsstufen!$G$7:$G$19,0)),"Gerät falsch",LOOKUP(VALUE(MID(H280,1,2)),Schwierigkeitsstufen!$G$7:$G$19,Schwierigkeitsstufen!$H$7:$H$19)))</f>
        <v/>
      </c>
      <c r="AC280" s="250" t="str">
        <f>IF((($A280="")*($B280=""))+((MID($Y280,1,4)&lt;&gt;"Wahl")*(Deckblatt!$C$14='WK-Vorlagen'!$C$82))+(Deckblatt!$C$14&lt;&gt;'WK-Vorlagen'!$C$82),"",IF(ISERROR(MATCH(VALUE(MID(I280,1,2)),Schwierigkeitsstufen!$G$7:$G$19,0)),"Gerät falsch",LOOKUP(VALUE(MID(I280,1,2)),Schwierigkeitsstufen!$G$7:$G$19,Schwierigkeitsstufen!$H$7:$H$19)))</f>
        <v/>
      </c>
      <c r="AD280" s="251" t="str">
        <f>IF((($A280="")*($B280=""))+((MID($Y280,1,4)&lt;&gt;"Wahl")*(Deckblatt!$C$14='WK-Vorlagen'!$C$82))+(Deckblatt!$C$14&lt;&gt;'WK-Vorlagen'!$C$82),"",IF(ISERROR(MATCH(VALUE(MID(J280,1,2)),Schwierigkeitsstufen!$G$7:$G$19,0)),"Gerät falsch",LOOKUP(VALUE(MID(J280,1,2)),Schwierigkeitsstufen!$G$7:$G$19,Schwierigkeitsstufen!$H$7:$H$19)))</f>
        <v/>
      </c>
      <c r="AE280" s="211"/>
      <c r="AG280" s="221" t="str">
        <f t="shared" si="36"/>
        <v/>
      </c>
      <c r="AH280" s="222" t="str">
        <f t="shared" si="38"/>
        <v/>
      </c>
      <c r="AI280" s="220">
        <f t="shared" si="43"/>
        <v>4</v>
      </c>
      <c r="AJ280" s="222">
        <f t="shared" si="39"/>
        <v>0</v>
      </c>
      <c r="AK280" s="299" t="str">
        <f>IF(ISERROR(LOOKUP(E280,WKNrListe,Übersicht!$R$7:$R$46)),"-",LOOKUP(E280,WKNrListe,Übersicht!$R$7:$R$46))</f>
        <v>-</v>
      </c>
      <c r="AL280" s="299" t="str">
        <f t="shared" si="42"/>
        <v>-</v>
      </c>
      <c r="AM280" s="303"/>
      <c r="AN280" s="174" t="str">
        <f t="shared" si="35"/>
        <v>Leer</v>
      </c>
    </row>
    <row r="281" spans="1:40" s="174" customFormat="1" ht="15" customHeight="1">
      <c r="A281" s="63"/>
      <c r="B281" s="63"/>
      <c r="C281" s="84"/>
      <c r="D281" s="85"/>
      <c r="E281" s="62"/>
      <c r="F281" s="62"/>
      <c r="G281" s="62"/>
      <c r="H281" s="62"/>
      <c r="I281" s="62"/>
      <c r="J281" s="62"/>
      <c r="K281" s="62"/>
      <c r="L281" s="62"/>
      <c r="M281" s="62"/>
      <c r="N281" s="62"/>
      <c r="O281" s="62"/>
      <c r="P281" s="62"/>
      <c r="Q281" s="62"/>
      <c r="R281" s="62"/>
      <c r="S281" s="258"/>
      <c r="T281" s="248" t="str">
        <f t="shared" si="40"/>
        <v/>
      </c>
      <c r="U281" s="249" t="str">
        <f t="shared" si="41"/>
        <v/>
      </c>
      <c r="V281" s="294" t="str">
        <f t="shared" si="37"/>
        <v/>
      </c>
      <c r="W281" s="294" t="str">
        <f>IF(((E281="")+(F281="")),"",IF(VLOOKUP(F281,Mannschaften!$A$1:$B$54,2,FALSE)&lt;&gt;E281,"Reiter Mannschaften füllen",""))</f>
        <v/>
      </c>
      <c r="X281" s="248" t="str">
        <f>IF(ISBLANK(C281),"",IF((U281&gt;(LOOKUP(E281,WKNrListe,Übersicht!$O$7:$O$46)))+(U281&lt;(LOOKUP(E281,WKNrListe,Übersicht!$P$7:$P$46))),"JG falsch",""))</f>
        <v/>
      </c>
      <c r="Y281" s="255" t="str">
        <f>IF((A281="")*(B281=""),"",IF(ISERROR(MATCH(E281,WKNrListe,0)),"WK falsch",LOOKUP(E281,WKNrListe,Übersicht!$B$7:$B$46)))</f>
        <v/>
      </c>
      <c r="Z281" s="269" t="str">
        <f>IF(((AJ281=0)*(AH281&lt;&gt;"")*(AK281="-"))+((AJ281&lt;&gt;0)*(AH281&lt;&gt;"")*(AK281="-")),IF(AG281="X",Übersicht!$C$70,Übersicht!$C$69),"-")</f>
        <v>-</v>
      </c>
      <c r="AA281" s="252" t="str">
        <f>IF((($A281="")*($B281=""))+((MID($Y281,1,4)&lt;&gt;"Wahl")*(Deckblatt!$C$14='WK-Vorlagen'!$C$82))+(Deckblatt!$C$14&lt;&gt;'WK-Vorlagen'!$C$82),"",IF(ISERROR(MATCH(VALUE(MID(G281,1,2)),Schwierigkeitsstufen!$G$7:$G$19,0)),"Gerät falsch",LOOKUP(VALUE(MID(G281,1,2)),Schwierigkeitsstufen!$G$7:$G$19,Schwierigkeitsstufen!$H$7:$H$19)))</f>
        <v/>
      </c>
      <c r="AB281" s="250" t="str">
        <f>IF((($A281="")*($B281=""))+((MID($Y281,1,4)&lt;&gt;"Wahl")*(Deckblatt!$C$14='WK-Vorlagen'!$C$82))+(Deckblatt!$C$14&lt;&gt;'WK-Vorlagen'!$C$82),"",IF(ISERROR(MATCH(VALUE(MID(H281,1,2)),Schwierigkeitsstufen!$G$7:$G$19,0)),"Gerät falsch",LOOKUP(VALUE(MID(H281,1,2)),Schwierigkeitsstufen!$G$7:$G$19,Schwierigkeitsstufen!$H$7:$H$19)))</f>
        <v/>
      </c>
      <c r="AC281" s="250" t="str">
        <f>IF((($A281="")*($B281=""))+((MID($Y281,1,4)&lt;&gt;"Wahl")*(Deckblatt!$C$14='WK-Vorlagen'!$C$82))+(Deckblatt!$C$14&lt;&gt;'WK-Vorlagen'!$C$82),"",IF(ISERROR(MATCH(VALUE(MID(I281,1,2)),Schwierigkeitsstufen!$G$7:$G$19,0)),"Gerät falsch",LOOKUP(VALUE(MID(I281,1,2)),Schwierigkeitsstufen!$G$7:$G$19,Schwierigkeitsstufen!$H$7:$H$19)))</f>
        <v/>
      </c>
      <c r="AD281" s="251" t="str">
        <f>IF((($A281="")*($B281=""))+((MID($Y281,1,4)&lt;&gt;"Wahl")*(Deckblatt!$C$14='WK-Vorlagen'!$C$82))+(Deckblatt!$C$14&lt;&gt;'WK-Vorlagen'!$C$82),"",IF(ISERROR(MATCH(VALUE(MID(J281,1,2)),Schwierigkeitsstufen!$G$7:$G$19,0)),"Gerät falsch",LOOKUP(VALUE(MID(J281,1,2)),Schwierigkeitsstufen!$G$7:$G$19,Schwierigkeitsstufen!$H$7:$H$19)))</f>
        <v/>
      </c>
      <c r="AE281" s="211"/>
      <c r="AG281" s="221" t="str">
        <f t="shared" si="36"/>
        <v/>
      </c>
      <c r="AH281" s="222" t="str">
        <f t="shared" si="38"/>
        <v/>
      </c>
      <c r="AI281" s="220">
        <f t="shared" si="43"/>
        <v>4</v>
      </c>
      <c r="AJ281" s="222">
        <f t="shared" si="39"/>
        <v>0</v>
      </c>
      <c r="AK281" s="299" t="str">
        <f>IF(ISERROR(LOOKUP(E281,WKNrListe,Übersicht!$R$7:$R$46)),"-",LOOKUP(E281,WKNrListe,Übersicht!$R$7:$R$46))</f>
        <v>-</v>
      </c>
      <c r="AL281" s="299" t="str">
        <f t="shared" si="42"/>
        <v>-</v>
      </c>
      <c r="AM281" s="303"/>
      <c r="AN281" s="174" t="str">
        <f t="shared" si="35"/>
        <v>Leer</v>
      </c>
    </row>
    <row r="282" spans="1:40" s="174" customFormat="1" ht="15" customHeight="1">
      <c r="A282" s="63"/>
      <c r="B282" s="63"/>
      <c r="C282" s="84"/>
      <c r="D282" s="85"/>
      <c r="E282" s="62"/>
      <c r="F282" s="62"/>
      <c r="G282" s="62"/>
      <c r="H282" s="62"/>
      <c r="I282" s="62"/>
      <c r="J282" s="62"/>
      <c r="K282" s="62"/>
      <c r="L282" s="62"/>
      <c r="M282" s="62"/>
      <c r="N282" s="62"/>
      <c r="O282" s="62"/>
      <c r="P282" s="62"/>
      <c r="Q282" s="62"/>
      <c r="R282" s="62"/>
      <c r="S282" s="258"/>
      <c r="T282" s="248" t="str">
        <f t="shared" si="40"/>
        <v/>
      </c>
      <c r="U282" s="249" t="str">
        <f t="shared" si="41"/>
        <v/>
      </c>
      <c r="V282" s="294" t="str">
        <f t="shared" si="37"/>
        <v/>
      </c>
      <c r="W282" s="294" t="str">
        <f>IF(((E282="")+(F282="")),"",IF(VLOOKUP(F282,Mannschaften!$A$1:$B$54,2,FALSE)&lt;&gt;E282,"Reiter Mannschaften füllen",""))</f>
        <v/>
      </c>
      <c r="X282" s="248" t="str">
        <f>IF(ISBLANK(C282),"",IF((U282&gt;(LOOKUP(E282,WKNrListe,Übersicht!$O$7:$O$46)))+(U282&lt;(LOOKUP(E282,WKNrListe,Übersicht!$P$7:$P$46))),"JG falsch",""))</f>
        <v/>
      </c>
      <c r="Y282" s="255" t="str">
        <f>IF((A282="")*(B282=""),"",IF(ISERROR(MATCH(E282,WKNrListe,0)),"WK falsch",LOOKUP(E282,WKNrListe,Übersicht!$B$7:$B$46)))</f>
        <v/>
      </c>
      <c r="Z282" s="269" t="str">
        <f>IF(((AJ282=0)*(AH282&lt;&gt;"")*(AK282="-"))+((AJ282&lt;&gt;0)*(AH282&lt;&gt;"")*(AK282="-")),IF(AG282="X",Übersicht!$C$70,Übersicht!$C$69),"-")</f>
        <v>-</v>
      </c>
      <c r="AA282" s="252" t="str">
        <f>IF((($A282="")*($B282=""))+((MID($Y282,1,4)&lt;&gt;"Wahl")*(Deckblatt!$C$14='WK-Vorlagen'!$C$82))+(Deckblatt!$C$14&lt;&gt;'WK-Vorlagen'!$C$82),"",IF(ISERROR(MATCH(VALUE(MID(G282,1,2)),Schwierigkeitsstufen!$G$7:$G$19,0)),"Gerät falsch",LOOKUP(VALUE(MID(G282,1,2)),Schwierigkeitsstufen!$G$7:$G$19,Schwierigkeitsstufen!$H$7:$H$19)))</f>
        <v/>
      </c>
      <c r="AB282" s="250" t="str">
        <f>IF((($A282="")*($B282=""))+((MID($Y282,1,4)&lt;&gt;"Wahl")*(Deckblatt!$C$14='WK-Vorlagen'!$C$82))+(Deckblatt!$C$14&lt;&gt;'WK-Vorlagen'!$C$82),"",IF(ISERROR(MATCH(VALUE(MID(H282,1,2)),Schwierigkeitsstufen!$G$7:$G$19,0)),"Gerät falsch",LOOKUP(VALUE(MID(H282,1,2)),Schwierigkeitsstufen!$G$7:$G$19,Schwierigkeitsstufen!$H$7:$H$19)))</f>
        <v/>
      </c>
      <c r="AC282" s="250" t="str">
        <f>IF((($A282="")*($B282=""))+((MID($Y282,1,4)&lt;&gt;"Wahl")*(Deckblatt!$C$14='WK-Vorlagen'!$C$82))+(Deckblatt!$C$14&lt;&gt;'WK-Vorlagen'!$C$82),"",IF(ISERROR(MATCH(VALUE(MID(I282,1,2)),Schwierigkeitsstufen!$G$7:$G$19,0)),"Gerät falsch",LOOKUP(VALUE(MID(I282,1,2)),Schwierigkeitsstufen!$G$7:$G$19,Schwierigkeitsstufen!$H$7:$H$19)))</f>
        <v/>
      </c>
      <c r="AD282" s="251" t="str">
        <f>IF((($A282="")*($B282=""))+((MID($Y282,1,4)&lt;&gt;"Wahl")*(Deckblatt!$C$14='WK-Vorlagen'!$C$82))+(Deckblatt!$C$14&lt;&gt;'WK-Vorlagen'!$C$82),"",IF(ISERROR(MATCH(VALUE(MID(J282,1,2)),Schwierigkeitsstufen!$G$7:$G$19,0)),"Gerät falsch",LOOKUP(VALUE(MID(J282,1,2)),Schwierigkeitsstufen!$G$7:$G$19,Schwierigkeitsstufen!$H$7:$H$19)))</f>
        <v/>
      </c>
      <c r="AE282" s="211"/>
      <c r="AG282" s="221" t="str">
        <f t="shared" si="36"/>
        <v/>
      </c>
      <c r="AH282" s="222" t="str">
        <f t="shared" si="38"/>
        <v/>
      </c>
      <c r="AI282" s="220">
        <f t="shared" si="43"/>
        <v>4</v>
      </c>
      <c r="AJ282" s="222">
        <f t="shared" si="39"/>
        <v>0</v>
      </c>
      <c r="AK282" s="299" t="str">
        <f>IF(ISERROR(LOOKUP(E282,WKNrListe,Übersicht!$R$7:$R$46)),"-",LOOKUP(E282,WKNrListe,Übersicht!$R$7:$R$46))</f>
        <v>-</v>
      </c>
      <c r="AL282" s="299" t="str">
        <f t="shared" si="42"/>
        <v>-</v>
      </c>
      <c r="AM282" s="303"/>
      <c r="AN282" s="174" t="str">
        <f t="shared" si="35"/>
        <v>Leer</v>
      </c>
    </row>
    <row r="283" spans="1:40" s="174" customFormat="1" ht="15" customHeight="1">
      <c r="A283" s="63"/>
      <c r="B283" s="63"/>
      <c r="C283" s="84"/>
      <c r="D283" s="85"/>
      <c r="E283" s="62"/>
      <c r="F283" s="62"/>
      <c r="G283" s="62"/>
      <c r="H283" s="62"/>
      <c r="I283" s="62"/>
      <c r="J283" s="62"/>
      <c r="K283" s="62"/>
      <c r="L283" s="62"/>
      <c r="M283" s="62"/>
      <c r="N283" s="62"/>
      <c r="O283" s="62"/>
      <c r="P283" s="62"/>
      <c r="Q283" s="62"/>
      <c r="R283" s="62"/>
      <c r="S283" s="258"/>
      <c r="T283" s="248" t="str">
        <f t="shared" si="40"/>
        <v/>
      </c>
      <c r="U283" s="249" t="str">
        <f t="shared" si="41"/>
        <v/>
      </c>
      <c r="V283" s="294" t="str">
        <f t="shared" si="37"/>
        <v/>
      </c>
      <c r="W283" s="294" t="str">
        <f>IF(((E283="")+(F283="")),"",IF(VLOOKUP(F283,Mannschaften!$A$1:$B$54,2,FALSE)&lt;&gt;E283,"Reiter Mannschaften füllen",""))</f>
        <v/>
      </c>
      <c r="X283" s="248" t="str">
        <f>IF(ISBLANK(C283),"",IF((U283&gt;(LOOKUP(E283,WKNrListe,Übersicht!$O$7:$O$46)))+(U283&lt;(LOOKUP(E283,WKNrListe,Übersicht!$P$7:$P$46))),"JG falsch",""))</f>
        <v/>
      </c>
      <c r="Y283" s="255" t="str">
        <f>IF((A283="")*(B283=""),"",IF(ISERROR(MATCH(E283,WKNrListe,0)),"WK falsch",LOOKUP(E283,WKNrListe,Übersicht!$B$7:$B$46)))</f>
        <v/>
      </c>
      <c r="Z283" s="269" t="str">
        <f>IF(((AJ283=0)*(AH283&lt;&gt;"")*(AK283="-"))+((AJ283&lt;&gt;0)*(AH283&lt;&gt;"")*(AK283="-")),IF(AG283="X",Übersicht!$C$70,Übersicht!$C$69),"-")</f>
        <v>-</v>
      </c>
      <c r="AA283" s="252" t="str">
        <f>IF((($A283="")*($B283=""))+((MID($Y283,1,4)&lt;&gt;"Wahl")*(Deckblatt!$C$14='WK-Vorlagen'!$C$82))+(Deckblatt!$C$14&lt;&gt;'WK-Vorlagen'!$C$82),"",IF(ISERROR(MATCH(VALUE(MID(G283,1,2)),Schwierigkeitsstufen!$G$7:$G$19,0)),"Gerät falsch",LOOKUP(VALUE(MID(G283,1,2)),Schwierigkeitsstufen!$G$7:$G$19,Schwierigkeitsstufen!$H$7:$H$19)))</f>
        <v/>
      </c>
      <c r="AB283" s="250" t="str">
        <f>IF((($A283="")*($B283=""))+((MID($Y283,1,4)&lt;&gt;"Wahl")*(Deckblatt!$C$14='WK-Vorlagen'!$C$82))+(Deckblatt!$C$14&lt;&gt;'WK-Vorlagen'!$C$82),"",IF(ISERROR(MATCH(VALUE(MID(H283,1,2)),Schwierigkeitsstufen!$G$7:$G$19,0)),"Gerät falsch",LOOKUP(VALUE(MID(H283,1,2)),Schwierigkeitsstufen!$G$7:$G$19,Schwierigkeitsstufen!$H$7:$H$19)))</f>
        <v/>
      </c>
      <c r="AC283" s="250" t="str">
        <f>IF((($A283="")*($B283=""))+((MID($Y283,1,4)&lt;&gt;"Wahl")*(Deckblatt!$C$14='WK-Vorlagen'!$C$82))+(Deckblatt!$C$14&lt;&gt;'WK-Vorlagen'!$C$82),"",IF(ISERROR(MATCH(VALUE(MID(I283,1,2)),Schwierigkeitsstufen!$G$7:$G$19,0)),"Gerät falsch",LOOKUP(VALUE(MID(I283,1,2)),Schwierigkeitsstufen!$G$7:$G$19,Schwierigkeitsstufen!$H$7:$H$19)))</f>
        <v/>
      </c>
      <c r="AD283" s="251" t="str">
        <f>IF((($A283="")*($B283=""))+((MID($Y283,1,4)&lt;&gt;"Wahl")*(Deckblatt!$C$14='WK-Vorlagen'!$C$82))+(Deckblatt!$C$14&lt;&gt;'WK-Vorlagen'!$C$82),"",IF(ISERROR(MATCH(VALUE(MID(J283,1,2)),Schwierigkeitsstufen!$G$7:$G$19,0)),"Gerät falsch",LOOKUP(VALUE(MID(J283,1,2)),Schwierigkeitsstufen!$G$7:$G$19,Schwierigkeitsstufen!$H$7:$H$19)))</f>
        <v/>
      </c>
      <c r="AE283" s="211"/>
      <c r="AG283" s="221" t="str">
        <f t="shared" si="36"/>
        <v/>
      </c>
      <c r="AH283" s="222" t="str">
        <f t="shared" si="38"/>
        <v/>
      </c>
      <c r="AI283" s="220">
        <f t="shared" si="43"/>
        <v>4</v>
      </c>
      <c r="AJ283" s="222">
        <f t="shared" si="39"/>
        <v>0</v>
      </c>
      <c r="AK283" s="299" t="str">
        <f>IF(ISERROR(LOOKUP(E283,WKNrListe,Übersicht!$R$7:$R$46)),"-",LOOKUP(E283,WKNrListe,Übersicht!$R$7:$R$46))</f>
        <v>-</v>
      </c>
      <c r="AL283" s="299" t="str">
        <f t="shared" si="42"/>
        <v>-</v>
      </c>
      <c r="AM283" s="303"/>
      <c r="AN283" s="174" t="str">
        <f t="shared" si="35"/>
        <v>Leer</v>
      </c>
    </row>
    <row r="284" spans="1:40" s="174" customFormat="1" ht="15" customHeight="1">
      <c r="A284" s="63"/>
      <c r="B284" s="63"/>
      <c r="C284" s="84"/>
      <c r="D284" s="85"/>
      <c r="E284" s="62"/>
      <c r="F284" s="62"/>
      <c r="G284" s="62"/>
      <c r="H284" s="62"/>
      <c r="I284" s="62"/>
      <c r="J284" s="62"/>
      <c r="K284" s="62"/>
      <c r="L284" s="62"/>
      <c r="M284" s="62"/>
      <c r="N284" s="62"/>
      <c r="O284" s="62"/>
      <c r="P284" s="62"/>
      <c r="Q284" s="62"/>
      <c r="R284" s="62"/>
      <c r="S284" s="258"/>
      <c r="T284" s="248" t="str">
        <f t="shared" si="40"/>
        <v/>
      </c>
      <c r="U284" s="249" t="str">
        <f t="shared" si="41"/>
        <v/>
      </c>
      <c r="V284" s="294" t="str">
        <f t="shared" si="37"/>
        <v/>
      </c>
      <c r="W284" s="294" t="str">
        <f>IF(((E284="")+(F284="")),"",IF(VLOOKUP(F284,Mannschaften!$A$1:$B$54,2,FALSE)&lt;&gt;E284,"Reiter Mannschaften füllen",""))</f>
        <v/>
      </c>
      <c r="X284" s="248" t="str">
        <f>IF(ISBLANK(C284),"",IF((U284&gt;(LOOKUP(E284,WKNrListe,Übersicht!$O$7:$O$46)))+(U284&lt;(LOOKUP(E284,WKNrListe,Übersicht!$P$7:$P$46))),"JG falsch",""))</f>
        <v/>
      </c>
      <c r="Y284" s="255" t="str">
        <f>IF((A284="")*(B284=""),"",IF(ISERROR(MATCH(E284,WKNrListe,0)),"WK falsch",LOOKUP(E284,WKNrListe,Übersicht!$B$7:$B$46)))</f>
        <v/>
      </c>
      <c r="Z284" s="269" t="str">
        <f>IF(((AJ284=0)*(AH284&lt;&gt;"")*(AK284="-"))+((AJ284&lt;&gt;0)*(AH284&lt;&gt;"")*(AK284="-")),IF(AG284="X",Übersicht!$C$70,Übersicht!$C$69),"-")</f>
        <v>-</v>
      </c>
      <c r="AA284" s="252" t="str">
        <f>IF((($A284="")*($B284=""))+((MID($Y284,1,4)&lt;&gt;"Wahl")*(Deckblatt!$C$14='WK-Vorlagen'!$C$82))+(Deckblatt!$C$14&lt;&gt;'WK-Vorlagen'!$C$82),"",IF(ISERROR(MATCH(VALUE(MID(G284,1,2)),Schwierigkeitsstufen!$G$7:$G$19,0)),"Gerät falsch",LOOKUP(VALUE(MID(G284,1,2)),Schwierigkeitsstufen!$G$7:$G$19,Schwierigkeitsstufen!$H$7:$H$19)))</f>
        <v/>
      </c>
      <c r="AB284" s="250" t="str">
        <f>IF((($A284="")*($B284=""))+((MID($Y284,1,4)&lt;&gt;"Wahl")*(Deckblatt!$C$14='WK-Vorlagen'!$C$82))+(Deckblatt!$C$14&lt;&gt;'WK-Vorlagen'!$C$82),"",IF(ISERROR(MATCH(VALUE(MID(H284,1,2)),Schwierigkeitsstufen!$G$7:$G$19,0)),"Gerät falsch",LOOKUP(VALUE(MID(H284,1,2)),Schwierigkeitsstufen!$G$7:$G$19,Schwierigkeitsstufen!$H$7:$H$19)))</f>
        <v/>
      </c>
      <c r="AC284" s="250" t="str">
        <f>IF((($A284="")*($B284=""))+((MID($Y284,1,4)&lt;&gt;"Wahl")*(Deckblatt!$C$14='WK-Vorlagen'!$C$82))+(Deckblatt!$C$14&lt;&gt;'WK-Vorlagen'!$C$82),"",IF(ISERROR(MATCH(VALUE(MID(I284,1,2)),Schwierigkeitsstufen!$G$7:$G$19,0)),"Gerät falsch",LOOKUP(VALUE(MID(I284,1,2)),Schwierigkeitsstufen!$G$7:$G$19,Schwierigkeitsstufen!$H$7:$H$19)))</f>
        <v/>
      </c>
      <c r="AD284" s="251" t="str">
        <f>IF((($A284="")*($B284=""))+((MID($Y284,1,4)&lt;&gt;"Wahl")*(Deckblatt!$C$14='WK-Vorlagen'!$C$82))+(Deckblatt!$C$14&lt;&gt;'WK-Vorlagen'!$C$82),"",IF(ISERROR(MATCH(VALUE(MID(J284,1,2)),Schwierigkeitsstufen!$G$7:$G$19,0)),"Gerät falsch",LOOKUP(VALUE(MID(J284,1,2)),Schwierigkeitsstufen!$G$7:$G$19,Schwierigkeitsstufen!$H$7:$H$19)))</f>
        <v/>
      </c>
      <c r="AE284" s="211"/>
      <c r="AG284" s="221" t="str">
        <f t="shared" si="36"/>
        <v/>
      </c>
      <c r="AH284" s="222" t="str">
        <f t="shared" si="38"/>
        <v/>
      </c>
      <c r="AI284" s="220">
        <f t="shared" si="43"/>
        <v>4</v>
      </c>
      <c r="AJ284" s="222">
        <f t="shared" si="39"/>
        <v>0</v>
      </c>
      <c r="AK284" s="299" t="str">
        <f>IF(ISERROR(LOOKUP(E284,WKNrListe,Übersicht!$R$7:$R$46)),"-",LOOKUP(E284,WKNrListe,Übersicht!$R$7:$R$46))</f>
        <v>-</v>
      </c>
      <c r="AL284" s="299" t="str">
        <f t="shared" si="42"/>
        <v>-</v>
      </c>
      <c r="AM284" s="303"/>
      <c r="AN284" s="174" t="str">
        <f t="shared" si="35"/>
        <v>Leer</v>
      </c>
    </row>
    <row r="285" spans="1:40" s="174" customFormat="1" ht="15" customHeight="1">
      <c r="A285" s="63"/>
      <c r="B285" s="63"/>
      <c r="C285" s="84"/>
      <c r="D285" s="85"/>
      <c r="E285" s="62"/>
      <c r="F285" s="62"/>
      <c r="G285" s="62"/>
      <c r="H285" s="62"/>
      <c r="I285" s="62"/>
      <c r="J285" s="62"/>
      <c r="K285" s="62"/>
      <c r="L285" s="62"/>
      <c r="M285" s="62"/>
      <c r="N285" s="62"/>
      <c r="O285" s="62"/>
      <c r="P285" s="62"/>
      <c r="Q285" s="62"/>
      <c r="R285" s="62"/>
      <c r="S285" s="258"/>
      <c r="T285" s="248" t="str">
        <f t="shared" si="40"/>
        <v/>
      </c>
      <c r="U285" s="249" t="str">
        <f t="shared" si="41"/>
        <v/>
      </c>
      <c r="V285" s="294" t="str">
        <f t="shared" si="37"/>
        <v/>
      </c>
      <c r="W285" s="294" t="str">
        <f>IF(((E285="")+(F285="")),"",IF(VLOOKUP(F285,Mannschaften!$A$1:$B$54,2,FALSE)&lt;&gt;E285,"Reiter Mannschaften füllen",""))</f>
        <v/>
      </c>
      <c r="X285" s="248" t="str">
        <f>IF(ISBLANK(C285),"",IF((U285&gt;(LOOKUP(E285,WKNrListe,Übersicht!$O$7:$O$46)))+(U285&lt;(LOOKUP(E285,WKNrListe,Übersicht!$P$7:$P$46))),"JG falsch",""))</f>
        <v/>
      </c>
      <c r="Y285" s="255" t="str">
        <f>IF((A285="")*(B285=""),"",IF(ISERROR(MATCH(E285,WKNrListe,0)),"WK falsch",LOOKUP(E285,WKNrListe,Übersicht!$B$7:$B$46)))</f>
        <v/>
      </c>
      <c r="Z285" s="269" t="str">
        <f>IF(((AJ285=0)*(AH285&lt;&gt;"")*(AK285="-"))+((AJ285&lt;&gt;0)*(AH285&lt;&gt;"")*(AK285="-")),IF(AG285="X",Übersicht!$C$70,Übersicht!$C$69),"-")</f>
        <v>-</v>
      </c>
      <c r="AA285" s="252" t="str">
        <f>IF((($A285="")*($B285=""))+((MID($Y285,1,4)&lt;&gt;"Wahl")*(Deckblatt!$C$14='WK-Vorlagen'!$C$82))+(Deckblatt!$C$14&lt;&gt;'WK-Vorlagen'!$C$82),"",IF(ISERROR(MATCH(VALUE(MID(G285,1,2)),Schwierigkeitsstufen!$G$7:$G$19,0)),"Gerät falsch",LOOKUP(VALUE(MID(G285,1,2)),Schwierigkeitsstufen!$G$7:$G$19,Schwierigkeitsstufen!$H$7:$H$19)))</f>
        <v/>
      </c>
      <c r="AB285" s="250" t="str">
        <f>IF((($A285="")*($B285=""))+((MID($Y285,1,4)&lt;&gt;"Wahl")*(Deckblatt!$C$14='WK-Vorlagen'!$C$82))+(Deckblatt!$C$14&lt;&gt;'WK-Vorlagen'!$C$82),"",IF(ISERROR(MATCH(VALUE(MID(H285,1,2)),Schwierigkeitsstufen!$G$7:$G$19,0)),"Gerät falsch",LOOKUP(VALUE(MID(H285,1,2)),Schwierigkeitsstufen!$G$7:$G$19,Schwierigkeitsstufen!$H$7:$H$19)))</f>
        <v/>
      </c>
      <c r="AC285" s="250" t="str">
        <f>IF((($A285="")*($B285=""))+((MID($Y285,1,4)&lt;&gt;"Wahl")*(Deckblatt!$C$14='WK-Vorlagen'!$C$82))+(Deckblatt!$C$14&lt;&gt;'WK-Vorlagen'!$C$82),"",IF(ISERROR(MATCH(VALUE(MID(I285,1,2)),Schwierigkeitsstufen!$G$7:$G$19,0)),"Gerät falsch",LOOKUP(VALUE(MID(I285,1,2)),Schwierigkeitsstufen!$G$7:$G$19,Schwierigkeitsstufen!$H$7:$H$19)))</f>
        <v/>
      </c>
      <c r="AD285" s="251" t="str">
        <f>IF((($A285="")*($B285=""))+((MID($Y285,1,4)&lt;&gt;"Wahl")*(Deckblatt!$C$14='WK-Vorlagen'!$C$82))+(Deckblatt!$C$14&lt;&gt;'WK-Vorlagen'!$C$82),"",IF(ISERROR(MATCH(VALUE(MID(J285,1,2)),Schwierigkeitsstufen!$G$7:$G$19,0)),"Gerät falsch",LOOKUP(VALUE(MID(J285,1,2)),Schwierigkeitsstufen!$G$7:$G$19,Schwierigkeitsstufen!$H$7:$H$19)))</f>
        <v/>
      </c>
      <c r="AE285" s="211"/>
      <c r="AG285" s="221" t="str">
        <f t="shared" si="36"/>
        <v/>
      </c>
      <c r="AH285" s="222" t="str">
        <f t="shared" si="38"/>
        <v/>
      </c>
      <c r="AI285" s="220">
        <f t="shared" si="43"/>
        <v>4</v>
      </c>
      <c r="AJ285" s="222">
        <f t="shared" si="39"/>
        <v>0</v>
      </c>
      <c r="AK285" s="299" t="str">
        <f>IF(ISERROR(LOOKUP(E285,WKNrListe,Übersicht!$R$7:$R$46)),"-",LOOKUP(E285,WKNrListe,Übersicht!$R$7:$R$46))</f>
        <v>-</v>
      </c>
      <c r="AL285" s="299" t="str">
        <f t="shared" si="42"/>
        <v>-</v>
      </c>
      <c r="AM285" s="303"/>
      <c r="AN285" s="174" t="str">
        <f t="shared" si="35"/>
        <v>Leer</v>
      </c>
    </row>
    <row r="286" spans="1:40" s="174" customFormat="1" ht="15" customHeight="1">
      <c r="A286" s="63"/>
      <c r="B286" s="63"/>
      <c r="C286" s="84"/>
      <c r="D286" s="85"/>
      <c r="E286" s="62"/>
      <c r="F286" s="62"/>
      <c r="G286" s="62"/>
      <c r="H286" s="62"/>
      <c r="I286" s="62"/>
      <c r="J286" s="62"/>
      <c r="K286" s="62"/>
      <c r="L286" s="62"/>
      <c r="M286" s="62"/>
      <c r="N286" s="62"/>
      <c r="O286" s="62"/>
      <c r="P286" s="62"/>
      <c r="Q286" s="62"/>
      <c r="R286" s="62"/>
      <c r="S286" s="258"/>
      <c r="T286" s="248" t="str">
        <f t="shared" si="40"/>
        <v/>
      </c>
      <c r="U286" s="249" t="str">
        <f t="shared" si="41"/>
        <v/>
      </c>
      <c r="V286" s="294" t="str">
        <f t="shared" si="37"/>
        <v/>
      </c>
      <c r="W286" s="294" t="str">
        <f>IF(((E286="")+(F286="")),"",IF(VLOOKUP(F286,Mannschaften!$A$1:$B$54,2,FALSE)&lt;&gt;E286,"Reiter Mannschaften füllen",""))</f>
        <v/>
      </c>
      <c r="X286" s="248" t="str">
        <f>IF(ISBLANK(C286),"",IF((U286&gt;(LOOKUP(E286,WKNrListe,Übersicht!$O$7:$O$46)))+(U286&lt;(LOOKUP(E286,WKNrListe,Übersicht!$P$7:$P$46))),"JG falsch",""))</f>
        <v/>
      </c>
      <c r="Y286" s="255" t="str">
        <f>IF((A286="")*(B286=""),"",IF(ISERROR(MATCH(E286,WKNrListe,0)),"WK falsch",LOOKUP(E286,WKNrListe,Übersicht!$B$7:$B$46)))</f>
        <v/>
      </c>
      <c r="Z286" s="269" t="str">
        <f>IF(((AJ286=0)*(AH286&lt;&gt;"")*(AK286="-"))+((AJ286&lt;&gt;0)*(AH286&lt;&gt;"")*(AK286="-")),IF(AG286="X",Übersicht!$C$70,Übersicht!$C$69),"-")</f>
        <v>-</v>
      </c>
      <c r="AA286" s="252" t="str">
        <f>IF((($A286="")*($B286=""))+((MID($Y286,1,4)&lt;&gt;"Wahl")*(Deckblatt!$C$14='WK-Vorlagen'!$C$82))+(Deckblatt!$C$14&lt;&gt;'WK-Vorlagen'!$C$82),"",IF(ISERROR(MATCH(VALUE(MID(G286,1,2)),Schwierigkeitsstufen!$G$7:$G$19,0)),"Gerät falsch",LOOKUP(VALUE(MID(G286,1,2)),Schwierigkeitsstufen!$G$7:$G$19,Schwierigkeitsstufen!$H$7:$H$19)))</f>
        <v/>
      </c>
      <c r="AB286" s="250" t="str">
        <f>IF((($A286="")*($B286=""))+((MID($Y286,1,4)&lt;&gt;"Wahl")*(Deckblatt!$C$14='WK-Vorlagen'!$C$82))+(Deckblatt!$C$14&lt;&gt;'WK-Vorlagen'!$C$82),"",IF(ISERROR(MATCH(VALUE(MID(H286,1,2)),Schwierigkeitsstufen!$G$7:$G$19,0)),"Gerät falsch",LOOKUP(VALUE(MID(H286,1,2)),Schwierigkeitsstufen!$G$7:$G$19,Schwierigkeitsstufen!$H$7:$H$19)))</f>
        <v/>
      </c>
      <c r="AC286" s="250" t="str">
        <f>IF((($A286="")*($B286=""))+((MID($Y286,1,4)&lt;&gt;"Wahl")*(Deckblatt!$C$14='WK-Vorlagen'!$C$82))+(Deckblatt!$C$14&lt;&gt;'WK-Vorlagen'!$C$82),"",IF(ISERROR(MATCH(VALUE(MID(I286,1,2)),Schwierigkeitsstufen!$G$7:$G$19,0)),"Gerät falsch",LOOKUP(VALUE(MID(I286,1,2)),Schwierigkeitsstufen!$G$7:$G$19,Schwierigkeitsstufen!$H$7:$H$19)))</f>
        <v/>
      </c>
      <c r="AD286" s="251" t="str">
        <f>IF((($A286="")*($B286=""))+((MID($Y286,1,4)&lt;&gt;"Wahl")*(Deckblatt!$C$14='WK-Vorlagen'!$C$82))+(Deckblatt!$C$14&lt;&gt;'WK-Vorlagen'!$C$82),"",IF(ISERROR(MATCH(VALUE(MID(J286,1,2)),Schwierigkeitsstufen!$G$7:$G$19,0)),"Gerät falsch",LOOKUP(VALUE(MID(J286,1,2)),Schwierigkeitsstufen!$G$7:$G$19,Schwierigkeitsstufen!$H$7:$H$19)))</f>
        <v/>
      </c>
      <c r="AE286" s="211"/>
      <c r="AG286" s="221" t="str">
        <f t="shared" si="36"/>
        <v/>
      </c>
      <c r="AH286" s="222" t="str">
        <f t="shared" si="38"/>
        <v/>
      </c>
      <c r="AI286" s="220">
        <f t="shared" si="43"/>
        <v>4</v>
      </c>
      <c r="AJ286" s="222">
        <f t="shared" si="39"/>
        <v>0</v>
      </c>
      <c r="AK286" s="299" t="str">
        <f>IF(ISERROR(LOOKUP(E286,WKNrListe,Übersicht!$R$7:$R$46)),"-",LOOKUP(E286,WKNrListe,Übersicht!$R$7:$R$46))</f>
        <v>-</v>
      </c>
      <c r="AL286" s="299" t="str">
        <f t="shared" si="42"/>
        <v>-</v>
      </c>
      <c r="AM286" s="303"/>
      <c r="AN286" s="174" t="str">
        <f t="shared" si="35"/>
        <v>Leer</v>
      </c>
    </row>
    <row r="287" spans="1:40" s="174" customFormat="1" ht="15" customHeight="1">
      <c r="A287" s="63"/>
      <c r="B287" s="63"/>
      <c r="C287" s="84"/>
      <c r="D287" s="85"/>
      <c r="E287" s="62"/>
      <c r="F287" s="62"/>
      <c r="G287" s="62"/>
      <c r="H287" s="62"/>
      <c r="I287" s="62"/>
      <c r="J287" s="62"/>
      <c r="K287" s="62"/>
      <c r="L287" s="62"/>
      <c r="M287" s="62"/>
      <c r="N287" s="62"/>
      <c r="O287" s="62"/>
      <c r="P287" s="62"/>
      <c r="Q287" s="62"/>
      <c r="R287" s="62"/>
      <c r="S287" s="258"/>
      <c r="T287" s="248" t="str">
        <f t="shared" si="40"/>
        <v/>
      </c>
      <c r="U287" s="249" t="str">
        <f t="shared" si="41"/>
        <v/>
      </c>
      <c r="V287" s="294" t="str">
        <f t="shared" si="37"/>
        <v/>
      </c>
      <c r="W287" s="294" t="str">
        <f>IF(((E287="")+(F287="")),"",IF(VLOOKUP(F287,Mannschaften!$A$1:$B$54,2,FALSE)&lt;&gt;E287,"Reiter Mannschaften füllen",""))</f>
        <v/>
      </c>
      <c r="X287" s="248" t="str">
        <f>IF(ISBLANK(C287),"",IF((U287&gt;(LOOKUP(E287,WKNrListe,Übersicht!$O$7:$O$46)))+(U287&lt;(LOOKUP(E287,WKNrListe,Übersicht!$P$7:$P$46))),"JG falsch",""))</f>
        <v/>
      </c>
      <c r="Y287" s="255" t="str">
        <f>IF((A287="")*(B287=""),"",IF(ISERROR(MATCH(E287,WKNrListe,0)),"WK falsch",LOOKUP(E287,WKNrListe,Übersicht!$B$7:$B$46)))</f>
        <v/>
      </c>
      <c r="Z287" s="269" t="str">
        <f>IF(((AJ287=0)*(AH287&lt;&gt;"")*(AK287="-"))+((AJ287&lt;&gt;0)*(AH287&lt;&gt;"")*(AK287="-")),IF(AG287="X",Übersicht!$C$70,Übersicht!$C$69),"-")</f>
        <v>-</v>
      </c>
      <c r="AA287" s="252" t="str">
        <f>IF((($A287="")*($B287=""))+((MID($Y287,1,4)&lt;&gt;"Wahl")*(Deckblatt!$C$14='WK-Vorlagen'!$C$82))+(Deckblatt!$C$14&lt;&gt;'WK-Vorlagen'!$C$82),"",IF(ISERROR(MATCH(VALUE(MID(G287,1,2)),Schwierigkeitsstufen!$G$7:$G$19,0)),"Gerät falsch",LOOKUP(VALUE(MID(G287,1,2)),Schwierigkeitsstufen!$G$7:$G$19,Schwierigkeitsstufen!$H$7:$H$19)))</f>
        <v/>
      </c>
      <c r="AB287" s="250" t="str">
        <f>IF((($A287="")*($B287=""))+((MID($Y287,1,4)&lt;&gt;"Wahl")*(Deckblatt!$C$14='WK-Vorlagen'!$C$82))+(Deckblatt!$C$14&lt;&gt;'WK-Vorlagen'!$C$82),"",IF(ISERROR(MATCH(VALUE(MID(H287,1,2)),Schwierigkeitsstufen!$G$7:$G$19,0)),"Gerät falsch",LOOKUP(VALUE(MID(H287,1,2)),Schwierigkeitsstufen!$G$7:$G$19,Schwierigkeitsstufen!$H$7:$H$19)))</f>
        <v/>
      </c>
      <c r="AC287" s="250" t="str">
        <f>IF((($A287="")*($B287=""))+((MID($Y287,1,4)&lt;&gt;"Wahl")*(Deckblatt!$C$14='WK-Vorlagen'!$C$82))+(Deckblatt!$C$14&lt;&gt;'WK-Vorlagen'!$C$82),"",IF(ISERROR(MATCH(VALUE(MID(I287,1,2)),Schwierigkeitsstufen!$G$7:$G$19,0)),"Gerät falsch",LOOKUP(VALUE(MID(I287,1,2)),Schwierigkeitsstufen!$G$7:$G$19,Schwierigkeitsstufen!$H$7:$H$19)))</f>
        <v/>
      </c>
      <c r="AD287" s="251" t="str">
        <f>IF((($A287="")*($B287=""))+((MID($Y287,1,4)&lt;&gt;"Wahl")*(Deckblatt!$C$14='WK-Vorlagen'!$C$82))+(Deckblatt!$C$14&lt;&gt;'WK-Vorlagen'!$C$82),"",IF(ISERROR(MATCH(VALUE(MID(J287,1,2)),Schwierigkeitsstufen!$G$7:$G$19,0)),"Gerät falsch",LOOKUP(VALUE(MID(J287,1,2)),Schwierigkeitsstufen!$G$7:$G$19,Schwierigkeitsstufen!$H$7:$H$19)))</f>
        <v/>
      </c>
      <c r="AE287" s="211"/>
      <c r="AG287" s="221" t="str">
        <f t="shared" si="36"/>
        <v/>
      </c>
      <c r="AH287" s="222" t="str">
        <f t="shared" si="38"/>
        <v/>
      </c>
      <c r="AI287" s="220">
        <f t="shared" si="43"/>
        <v>4</v>
      </c>
      <c r="AJ287" s="222">
        <f t="shared" si="39"/>
        <v>0</v>
      </c>
      <c r="AK287" s="299" t="str">
        <f>IF(ISERROR(LOOKUP(E287,WKNrListe,Übersicht!$R$7:$R$46)),"-",LOOKUP(E287,WKNrListe,Übersicht!$R$7:$R$46))</f>
        <v>-</v>
      </c>
      <c r="AL287" s="299" t="str">
        <f t="shared" si="42"/>
        <v>-</v>
      </c>
      <c r="AM287" s="303"/>
      <c r="AN287" s="174" t="str">
        <f t="shared" si="35"/>
        <v>Leer</v>
      </c>
    </row>
    <row r="288" spans="1:40" s="174" customFormat="1" ht="15" customHeight="1">
      <c r="A288" s="63"/>
      <c r="B288" s="63"/>
      <c r="C288" s="84"/>
      <c r="D288" s="85"/>
      <c r="E288" s="62"/>
      <c r="F288" s="62"/>
      <c r="G288" s="62"/>
      <c r="H288" s="62"/>
      <c r="I288" s="62"/>
      <c r="J288" s="62"/>
      <c r="K288" s="62"/>
      <c r="L288" s="62"/>
      <c r="M288" s="62"/>
      <c r="N288" s="62"/>
      <c r="O288" s="62"/>
      <c r="P288" s="62"/>
      <c r="Q288" s="62"/>
      <c r="R288" s="62"/>
      <c r="S288" s="258"/>
      <c r="T288" s="248" t="str">
        <f t="shared" si="40"/>
        <v/>
      </c>
      <c r="U288" s="249" t="str">
        <f t="shared" si="41"/>
        <v/>
      </c>
      <c r="V288" s="294" t="str">
        <f t="shared" si="37"/>
        <v/>
      </c>
      <c r="W288" s="294" t="str">
        <f>IF(((E288="")+(F288="")),"",IF(VLOOKUP(F288,Mannschaften!$A$1:$B$54,2,FALSE)&lt;&gt;E288,"Reiter Mannschaften füllen",""))</f>
        <v/>
      </c>
      <c r="X288" s="248" t="str">
        <f>IF(ISBLANK(C288),"",IF((U288&gt;(LOOKUP(E288,WKNrListe,Übersicht!$O$7:$O$46)))+(U288&lt;(LOOKUP(E288,WKNrListe,Übersicht!$P$7:$P$46))),"JG falsch",""))</f>
        <v/>
      </c>
      <c r="Y288" s="255" t="str">
        <f>IF((A288="")*(B288=""),"",IF(ISERROR(MATCH(E288,WKNrListe,0)),"WK falsch",LOOKUP(E288,WKNrListe,Übersicht!$B$7:$B$46)))</f>
        <v/>
      </c>
      <c r="Z288" s="269" t="str">
        <f>IF(((AJ288=0)*(AH288&lt;&gt;"")*(AK288="-"))+((AJ288&lt;&gt;0)*(AH288&lt;&gt;"")*(AK288="-")),IF(AG288="X",Übersicht!$C$70,Übersicht!$C$69),"-")</f>
        <v>-</v>
      </c>
      <c r="AA288" s="252" t="str">
        <f>IF((($A288="")*($B288=""))+((MID($Y288,1,4)&lt;&gt;"Wahl")*(Deckblatt!$C$14='WK-Vorlagen'!$C$82))+(Deckblatt!$C$14&lt;&gt;'WK-Vorlagen'!$C$82),"",IF(ISERROR(MATCH(VALUE(MID(G288,1,2)),Schwierigkeitsstufen!$G$7:$G$19,0)),"Gerät falsch",LOOKUP(VALUE(MID(G288,1,2)),Schwierigkeitsstufen!$G$7:$G$19,Schwierigkeitsstufen!$H$7:$H$19)))</f>
        <v/>
      </c>
      <c r="AB288" s="250" t="str">
        <f>IF((($A288="")*($B288=""))+((MID($Y288,1,4)&lt;&gt;"Wahl")*(Deckblatt!$C$14='WK-Vorlagen'!$C$82))+(Deckblatt!$C$14&lt;&gt;'WK-Vorlagen'!$C$82),"",IF(ISERROR(MATCH(VALUE(MID(H288,1,2)),Schwierigkeitsstufen!$G$7:$G$19,0)),"Gerät falsch",LOOKUP(VALUE(MID(H288,1,2)),Schwierigkeitsstufen!$G$7:$G$19,Schwierigkeitsstufen!$H$7:$H$19)))</f>
        <v/>
      </c>
      <c r="AC288" s="250" t="str">
        <f>IF((($A288="")*($B288=""))+((MID($Y288,1,4)&lt;&gt;"Wahl")*(Deckblatt!$C$14='WK-Vorlagen'!$C$82))+(Deckblatt!$C$14&lt;&gt;'WK-Vorlagen'!$C$82),"",IF(ISERROR(MATCH(VALUE(MID(I288,1,2)),Schwierigkeitsstufen!$G$7:$G$19,0)),"Gerät falsch",LOOKUP(VALUE(MID(I288,1,2)),Schwierigkeitsstufen!$G$7:$G$19,Schwierigkeitsstufen!$H$7:$H$19)))</f>
        <v/>
      </c>
      <c r="AD288" s="251" t="str">
        <f>IF((($A288="")*($B288=""))+((MID($Y288,1,4)&lt;&gt;"Wahl")*(Deckblatt!$C$14='WK-Vorlagen'!$C$82))+(Deckblatt!$C$14&lt;&gt;'WK-Vorlagen'!$C$82),"",IF(ISERROR(MATCH(VALUE(MID(J288,1,2)),Schwierigkeitsstufen!$G$7:$G$19,0)),"Gerät falsch",LOOKUP(VALUE(MID(J288,1,2)),Schwierigkeitsstufen!$G$7:$G$19,Schwierigkeitsstufen!$H$7:$H$19)))</f>
        <v/>
      </c>
      <c r="AE288" s="211"/>
      <c r="AG288" s="221" t="str">
        <f t="shared" si="36"/>
        <v/>
      </c>
      <c r="AH288" s="222" t="str">
        <f t="shared" si="38"/>
        <v/>
      </c>
      <c r="AI288" s="220">
        <f t="shared" si="43"/>
        <v>4</v>
      </c>
      <c r="AJ288" s="222">
        <f t="shared" si="39"/>
        <v>0</v>
      </c>
      <c r="AK288" s="299" t="str">
        <f>IF(ISERROR(LOOKUP(E288,WKNrListe,Übersicht!$R$7:$R$46)),"-",LOOKUP(E288,WKNrListe,Übersicht!$R$7:$R$46))</f>
        <v>-</v>
      </c>
      <c r="AL288" s="299" t="str">
        <f t="shared" si="42"/>
        <v>-</v>
      </c>
      <c r="AM288" s="303"/>
      <c r="AN288" s="174" t="str">
        <f t="shared" si="35"/>
        <v>Leer</v>
      </c>
    </row>
    <row r="289" spans="1:40" s="174" customFormat="1" ht="15" customHeight="1">
      <c r="A289" s="63"/>
      <c r="B289" s="63"/>
      <c r="C289" s="84"/>
      <c r="D289" s="85"/>
      <c r="E289" s="62"/>
      <c r="F289" s="62"/>
      <c r="G289" s="62"/>
      <c r="H289" s="62"/>
      <c r="I289" s="62"/>
      <c r="J289" s="62"/>
      <c r="K289" s="62"/>
      <c r="L289" s="62"/>
      <c r="M289" s="62"/>
      <c r="N289" s="62"/>
      <c r="O289" s="62"/>
      <c r="P289" s="62"/>
      <c r="Q289" s="62"/>
      <c r="R289" s="62"/>
      <c r="S289" s="258"/>
      <c r="T289" s="248" t="str">
        <f t="shared" si="40"/>
        <v/>
      </c>
      <c r="U289" s="249" t="str">
        <f t="shared" si="41"/>
        <v/>
      </c>
      <c r="V289" s="294" t="str">
        <f t="shared" si="37"/>
        <v/>
      </c>
      <c r="W289" s="294" t="str">
        <f>IF(((E289="")+(F289="")),"",IF(VLOOKUP(F289,Mannschaften!$A$1:$B$54,2,FALSE)&lt;&gt;E289,"Reiter Mannschaften füllen",""))</f>
        <v/>
      </c>
      <c r="X289" s="248" t="str">
        <f>IF(ISBLANK(C289),"",IF((U289&gt;(LOOKUP(E289,WKNrListe,Übersicht!$O$7:$O$46)))+(U289&lt;(LOOKUP(E289,WKNrListe,Übersicht!$P$7:$P$46))),"JG falsch",""))</f>
        <v/>
      </c>
      <c r="Y289" s="255" t="str">
        <f>IF((A289="")*(B289=""),"",IF(ISERROR(MATCH(E289,WKNrListe,0)),"WK falsch",LOOKUP(E289,WKNrListe,Übersicht!$B$7:$B$46)))</f>
        <v/>
      </c>
      <c r="Z289" s="269" t="str">
        <f>IF(((AJ289=0)*(AH289&lt;&gt;"")*(AK289="-"))+((AJ289&lt;&gt;0)*(AH289&lt;&gt;"")*(AK289="-")),IF(AG289="X",Übersicht!$C$70,Übersicht!$C$69),"-")</f>
        <v>-</v>
      </c>
      <c r="AA289" s="252" t="str">
        <f>IF((($A289="")*($B289=""))+((MID($Y289,1,4)&lt;&gt;"Wahl")*(Deckblatt!$C$14='WK-Vorlagen'!$C$82))+(Deckblatt!$C$14&lt;&gt;'WK-Vorlagen'!$C$82),"",IF(ISERROR(MATCH(VALUE(MID(G289,1,2)),Schwierigkeitsstufen!$G$7:$G$19,0)),"Gerät falsch",LOOKUP(VALUE(MID(G289,1,2)),Schwierigkeitsstufen!$G$7:$G$19,Schwierigkeitsstufen!$H$7:$H$19)))</f>
        <v/>
      </c>
      <c r="AB289" s="250" t="str">
        <f>IF((($A289="")*($B289=""))+((MID($Y289,1,4)&lt;&gt;"Wahl")*(Deckblatt!$C$14='WK-Vorlagen'!$C$82))+(Deckblatt!$C$14&lt;&gt;'WK-Vorlagen'!$C$82),"",IF(ISERROR(MATCH(VALUE(MID(H289,1,2)),Schwierigkeitsstufen!$G$7:$G$19,0)),"Gerät falsch",LOOKUP(VALUE(MID(H289,1,2)),Schwierigkeitsstufen!$G$7:$G$19,Schwierigkeitsstufen!$H$7:$H$19)))</f>
        <v/>
      </c>
      <c r="AC289" s="250" t="str">
        <f>IF((($A289="")*($B289=""))+((MID($Y289,1,4)&lt;&gt;"Wahl")*(Deckblatt!$C$14='WK-Vorlagen'!$C$82))+(Deckblatt!$C$14&lt;&gt;'WK-Vorlagen'!$C$82),"",IF(ISERROR(MATCH(VALUE(MID(I289,1,2)),Schwierigkeitsstufen!$G$7:$G$19,0)),"Gerät falsch",LOOKUP(VALUE(MID(I289,1,2)),Schwierigkeitsstufen!$G$7:$G$19,Schwierigkeitsstufen!$H$7:$H$19)))</f>
        <v/>
      </c>
      <c r="AD289" s="251" t="str">
        <f>IF((($A289="")*($B289=""))+((MID($Y289,1,4)&lt;&gt;"Wahl")*(Deckblatt!$C$14='WK-Vorlagen'!$C$82))+(Deckblatt!$C$14&lt;&gt;'WK-Vorlagen'!$C$82),"",IF(ISERROR(MATCH(VALUE(MID(J289,1,2)),Schwierigkeitsstufen!$G$7:$G$19,0)),"Gerät falsch",LOOKUP(VALUE(MID(J289,1,2)),Schwierigkeitsstufen!$G$7:$G$19,Schwierigkeitsstufen!$H$7:$H$19)))</f>
        <v/>
      </c>
      <c r="AE289" s="211"/>
      <c r="AG289" s="221" t="str">
        <f t="shared" si="36"/>
        <v/>
      </c>
      <c r="AH289" s="222" t="str">
        <f t="shared" si="38"/>
        <v/>
      </c>
      <c r="AI289" s="220">
        <f t="shared" si="43"/>
        <v>4</v>
      </c>
      <c r="AJ289" s="222">
        <f t="shared" si="39"/>
        <v>0</v>
      </c>
      <c r="AK289" s="299" t="str">
        <f>IF(ISERROR(LOOKUP(E289,WKNrListe,Übersicht!$R$7:$R$46)),"-",LOOKUP(E289,WKNrListe,Übersicht!$R$7:$R$46))</f>
        <v>-</v>
      </c>
      <c r="AL289" s="299" t="str">
        <f t="shared" si="42"/>
        <v>-</v>
      </c>
      <c r="AM289" s="303"/>
      <c r="AN289" s="174" t="str">
        <f t="shared" si="35"/>
        <v>Leer</v>
      </c>
    </row>
    <row r="290" spans="1:40" s="174" customFormat="1" ht="15" customHeight="1">
      <c r="A290" s="63"/>
      <c r="B290" s="63"/>
      <c r="C290" s="84"/>
      <c r="D290" s="85"/>
      <c r="E290" s="62"/>
      <c r="F290" s="62"/>
      <c r="G290" s="62"/>
      <c r="H290" s="62"/>
      <c r="I290" s="62"/>
      <c r="J290" s="62"/>
      <c r="K290" s="62"/>
      <c r="L290" s="62"/>
      <c r="M290" s="62"/>
      <c r="N290" s="62"/>
      <c r="O290" s="62"/>
      <c r="P290" s="62"/>
      <c r="Q290" s="62"/>
      <c r="R290" s="62"/>
      <c r="S290" s="258"/>
      <c r="T290" s="248" t="str">
        <f t="shared" si="40"/>
        <v/>
      </c>
      <c r="U290" s="249" t="str">
        <f t="shared" si="41"/>
        <v/>
      </c>
      <c r="V290" s="294" t="str">
        <f t="shared" si="37"/>
        <v/>
      </c>
      <c r="W290" s="294" t="str">
        <f>IF(((E290="")+(F290="")),"",IF(VLOOKUP(F290,Mannschaften!$A$1:$B$54,2,FALSE)&lt;&gt;E290,"Reiter Mannschaften füllen",""))</f>
        <v/>
      </c>
      <c r="X290" s="248" t="str">
        <f>IF(ISBLANK(C290),"",IF((U290&gt;(LOOKUP(E290,WKNrListe,Übersicht!$O$7:$O$46)))+(U290&lt;(LOOKUP(E290,WKNrListe,Übersicht!$P$7:$P$46))),"JG falsch",""))</f>
        <v/>
      </c>
      <c r="Y290" s="255" t="str">
        <f>IF((A290="")*(B290=""),"",IF(ISERROR(MATCH(E290,WKNrListe,0)),"WK falsch",LOOKUP(E290,WKNrListe,Übersicht!$B$7:$B$46)))</f>
        <v/>
      </c>
      <c r="Z290" s="269" t="str">
        <f>IF(((AJ290=0)*(AH290&lt;&gt;"")*(AK290="-"))+((AJ290&lt;&gt;0)*(AH290&lt;&gt;"")*(AK290="-")),IF(AG290="X",Übersicht!$C$70,Übersicht!$C$69),"-")</f>
        <v>-</v>
      </c>
      <c r="AA290" s="252" t="str">
        <f>IF((($A290="")*($B290=""))+((MID($Y290,1,4)&lt;&gt;"Wahl")*(Deckblatt!$C$14='WK-Vorlagen'!$C$82))+(Deckblatt!$C$14&lt;&gt;'WK-Vorlagen'!$C$82),"",IF(ISERROR(MATCH(VALUE(MID(G290,1,2)),Schwierigkeitsstufen!$G$7:$G$19,0)),"Gerät falsch",LOOKUP(VALUE(MID(G290,1,2)),Schwierigkeitsstufen!$G$7:$G$19,Schwierigkeitsstufen!$H$7:$H$19)))</f>
        <v/>
      </c>
      <c r="AB290" s="250" t="str">
        <f>IF((($A290="")*($B290=""))+((MID($Y290,1,4)&lt;&gt;"Wahl")*(Deckblatt!$C$14='WK-Vorlagen'!$C$82))+(Deckblatt!$C$14&lt;&gt;'WK-Vorlagen'!$C$82),"",IF(ISERROR(MATCH(VALUE(MID(H290,1,2)),Schwierigkeitsstufen!$G$7:$G$19,0)),"Gerät falsch",LOOKUP(VALUE(MID(H290,1,2)),Schwierigkeitsstufen!$G$7:$G$19,Schwierigkeitsstufen!$H$7:$H$19)))</f>
        <v/>
      </c>
      <c r="AC290" s="250" t="str">
        <f>IF((($A290="")*($B290=""))+((MID($Y290,1,4)&lt;&gt;"Wahl")*(Deckblatt!$C$14='WK-Vorlagen'!$C$82))+(Deckblatt!$C$14&lt;&gt;'WK-Vorlagen'!$C$82),"",IF(ISERROR(MATCH(VALUE(MID(I290,1,2)),Schwierigkeitsstufen!$G$7:$G$19,0)),"Gerät falsch",LOOKUP(VALUE(MID(I290,1,2)),Schwierigkeitsstufen!$G$7:$G$19,Schwierigkeitsstufen!$H$7:$H$19)))</f>
        <v/>
      </c>
      <c r="AD290" s="251" t="str">
        <f>IF((($A290="")*($B290=""))+((MID($Y290,1,4)&lt;&gt;"Wahl")*(Deckblatt!$C$14='WK-Vorlagen'!$C$82))+(Deckblatt!$C$14&lt;&gt;'WK-Vorlagen'!$C$82),"",IF(ISERROR(MATCH(VALUE(MID(J290,1,2)),Schwierigkeitsstufen!$G$7:$G$19,0)),"Gerät falsch",LOOKUP(VALUE(MID(J290,1,2)),Schwierigkeitsstufen!$G$7:$G$19,Schwierigkeitsstufen!$H$7:$H$19)))</f>
        <v/>
      </c>
      <c r="AE290" s="211"/>
      <c r="AG290" s="221" t="str">
        <f t="shared" si="36"/>
        <v/>
      </c>
      <c r="AH290" s="222" t="str">
        <f t="shared" si="38"/>
        <v/>
      </c>
      <c r="AI290" s="220">
        <f t="shared" si="43"/>
        <v>4</v>
      </c>
      <c r="AJ290" s="222">
        <f t="shared" si="39"/>
        <v>0</v>
      </c>
      <c r="AK290" s="299" t="str">
        <f>IF(ISERROR(LOOKUP(E290,WKNrListe,Übersicht!$R$7:$R$46)),"-",LOOKUP(E290,WKNrListe,Übersicht!$R$7:$R$46))</f>
        <v>-</v>
      </c>
      <c r="AL290" s="299" t="str">
        <f t="shared" si="42"/>
        <v>-</v>
      </c>
      <c r="AM290" s="303"/>
      <c r="AN290" s="174" t="str">
        <f t="shared" si="35"/>
        <v>Leer</v>
      </c>
    </row>
    <row r="291" spans="1:40" s="174" customFormat="1" ht="15" customHeight="1">
      <c r="A291" s="63"/>
      <c r="B291" s="63"/>
      <c r="C291" s="84"/>
      <c r="D291" s="85"/>
      <c r="E291" s="62"/>
      <c r="F291" s="62"/>
      <c r="G291" s="62"/>
      <c r="H291" s="62"/>
      <c r="I291" s="62"/>
      <c r="J291" s="62"/>
      <c r="K291" s="62"/>
      <c r="L291" s="62"/>
      <c r="M291" s="62"/>
      <c r="N291" s="62"/>
      <c r="O291" s="62"/>
      <c r="P291" s="62"/>
      <c r="Q291" s="62"/>
      <c r="R291" s="62"/>
      <c r="S291" s="258"/>
      <c r="T291" s="248" t="str">
        <f t="shared" si="40"/>
        <v/>
      </c>
      <c r="U291" s="249" t="str">
        <f t="shared" si="41"/>
        <v/>
      </c>
      <c r="V291" s="294" t="str">
        <f t="shared" si="37"/>
        <v/>
      </c>
      <c r="W291" s="294" t="str">
        <f>IF(((E291="")+(F291="")),"",IF(VLOOKUP(F291,Mannschaften!$A$1:$B$54,2,FALSE)&lt;&gt;E291,"Reiter Mannschaften füllen",""))</f>
        <v/>
      </c>
      <c r="X291" s="248" t="str">
        <f>IF(ISBLANK(C291),"",IF((U291&gt;(LOOKUP(E291,WKNrListe,Übersicht!$O$7:$O$46)))+(U291&lt;(LOOKUP(E291,WKNrListe,Übersicht!$P$7:$P$46))),"JG falsch",""))</f>
        <v/>
      </c>
      <c r="Y291" s="255" t="str">
        <f>IF((A291="")*(B291=""),"",IF(ISERROR(MATCH(E291,WKNrListe,0)),"WK falsch",LOOKUP(E291,WKNrListe,Übersicht!$B$7:$B$46)))</f>
        <v/>
      </c>
      <c r="Z291" s="269" t="str">
        <f>IF(((AJ291=0)*(AH291&lt;&gt;"")*(AK291="-"))+((AJ291&lt;&gt;0)*(AH291&lt;&gt;"")*(AK291="-")),IF(AG291="X",Übersicht!$C$70,Übersicht!$C$69),"-")</f>
        <v>-</v>
      </c>
      <c r="AA291" s="252" t="str">
        <f>IF((($A291="")*($B291=""))+((MID($Y291,1,4)&lt;&gt;"Wahl")*(Deckblatt!$C$14='WK-Vorlagen'!$C$82))+(Deckblatt!$C$14&lt;&gt;'WK-Vorlagen'!$C$82),"",IF(ISERROR(MATCH(VALUE(MID(G291,1,2)),Schwierigkeitsstufen!$G$7:$G$19,0)),"Gerät falsch",LOOKUP(VALUE(MID(G291,1,2)),Schwierigkeitsstufen!$G$7:$G$19,Schwierigkeitsstufen!$H$7:$H$19)))</f>
        <v/>
      </c>
      <c r="AB291" s="250" t="str">
        <f>IF((($A291="")*($B291=""))+((MID($Y291,1,4)&lt;&gt;"Wahl")*(Deckblatt!$C$14='WK-Vorlagen'!$C$82))+(Deckblatt!$C$14&lt;&gt;'WK-Vorlagen'!$C$82),"",IF(ISERROR(MATCH(VALUE(MID(H291,1,2)),Schwierigkeitsstufen!$G$7:$G$19,0)),"Gerät falsch",LOOKUP(VALUE(MID(H291,1,2)),Schwierigkeitsstufen!$G$7:$G$19,Schwierigkeitsstufen!$H$7:$H$19)))</f>
        <v/>
      </c>
      <c r="AC291" s="250" t="str">
        <f>IF((($A291="")*($B291=""))+((MID($Y291,1,4)&lt;&gt;"Wahl")*(Deckblatt!$C$14='WK-Vorlagen'!$C$82))+(Deckblatt!$C$14&lt;&gt;'WK-Vorlagen'!$C$82),"",IF(ISERROR(MATCH(VALUE(MID(I291,1,2)),Schwierigkeitsstufen!$G$7:$G$19,0)),"Gerät falsch",LOOKUP(VALUE(MID(I291,1,2)),Schwierigkeitsstufen!$G$7:$G$19,Schwierigkeitsstufen!$H$7:$H$19)))</f>
        <v/>
      </c>
      <c r="AD291" s="251" t="str">
        <f>IF((($A291="")*($B291=""))+((MID($Y291,1,4)&lt;&gt;"Wahl")*(Deckblatt!$C$14='WK-Vorlagen'!$C$82))+(Deckblatt!$C$14&lt;&gt;'WK-Vorlagen'!$C$82),"",IF(ISERROR(MATCH(VALUE(MID(J291,1,2)),Schwierigkeitsstufen!$G$7:$G$19,0)),"Gerät falsch",LOOKUP(VALUE(MID(J291,1,2)),Schwierigkeitsstufen!$G$7:$G$19,Schwierigkeitsstufen!$H$7:$H$19)))</f>
        <v/>
      </c>
      <c r="AE291" s="211"/>
      <c r="AG291" s="221" t="str">
        <f t="shared" si="36"/>
        <v/>
      </c>
      <c r="AH291" s="222" t="str">
        <f t="shared" si="38"/>
        <v/>
      </c>
      <c r="AI291" s="220">
        <f t="shared" si="43"/>
        <v>4</v>
      </c>
      <c r="AJ291" s="222">
        <f t="shared" si="39"/>
        <v>0</v>
      </c>
      <c r="AK291" s="299" t="str">
        <f>IF(ISERROR(LOOKUP(E291,WKNrListe,Übersicht!$R$7:$R$46)),"-",LOOKUP(E291,WKNrListe,Übersicht!$R$7:$R$46))</f>
        <v>-</v>
      </c>
      <c r="AL291" s="299" t="str">
        <f t="shared" si="42"/>
        <v>-</v>
      </c>
      <c r="AM291" s="303"/>
      <c r="AN291" s="174" t="str">
        <f t="shared" si="35"/>
        <v>Leer</v>
      </c>
    </row>
    <row r="292" spans="1:40" s="174" customFormat="1" ht="15" customHeight="1">
      <c r="A292" s="63"/>
      <c r="B292" s="63"/>
      <c r="C292" s="84"/>
      <c r="D292" s="85"/>
      <c r="E292" s="62"/>
      <c r="F292" s="62"/>
      <c r="G292" s="62"/>
      <c r="H292" s="62"/>
      <c r="I292" s="62"/>
      <c r="J292" s="62"/>
      <c r="K292" s="62"/>
      <c r="L292" s="62"/>
      <c r="M292" s="62"/>
      <c r="N292" s="62"/>
      <c r="O292" s="62"/>
      <c r="P292" s="62"/>
      <c r="Q292" s="62"/>
      <c r="R292" s="62"/>
      <c r="S292" s="258"/>
      <c r="T292" s="248" t="str">
        <f t="shared" si="40"/>
        <v/>
      </c>
      <c r="U292" s="249" t="str">
        <f t="shared" si="41"/>
        <v/>
      </c>
      <c r="V292" s="294" t="str">
        <f t="shared" si="37"/>
        <v/>
      </c>
      <c r="W292" s="294" t="str">
        <f>IF(((E292="")+(F292="")),"",IF(VLOOKUP(F292,Mannschaften!$A$1:$B$54,2,FALSE)&lt;&gt;E292,"Reiter Mannschaften füllen",""))</f>
        <v/>
      </c>
      <c r="X292" s="248" t="str">
        <f>IF(ISBLANK(C292),"",IF((U292&gt;(LOOKUP(E292,WKNrListe,Übersicht!$O$7:$O$46)))+(U292&lt;(LOOKUP(E292,WKNrListe,Übersicht!$P$7:$P$46))),"JG falsch",""))</f>
        <v/>
      </c>
      <c r="Y292" s="255" t="str">
        <f>IF((A292="")*(B292=""),"",IF(ISERROR(MATCH(E292,WKNrListe,0)),"WK falsch",LOOKUP(E292,WKNrListe,Übersicht!$B$7:$B$46)))</f>
        <v/>
      </c>
      <c r="Z292" s="269" t="str">
        <f>IF(((AJ292=0)*(AH292&lt;&gt;"")*(AK292="-"))+((AJ292&lt;&gt;0)*(AH292&lt;&gt;"")*(AK292="-")),IF(AG292="X",Übersicht!$C$70,Übersicht!$C$69),"-")</f>
        <v>-</v>
      </c>
      <c r="AA292" s="252" t="str">
        <f>IF((($A292="")*($B292=""))+((MID($Y292,1,4)&lt;&gt;"Wahl")*(Deckblatt!$C$14='WK-Vorlagen'!$C$82))+(Deckblatt!$C$14&lt;&gt;'WK-Vorlagen'!$C$82),"",IF(ISERROR(MATCH(VALUE(MID(G292,1,2)),Schwierigkeitsstufen!$G$7:$G$19,0)),"Gerät falsch",LOOKUP(VALUE(MID(G292,1,2)),Schwierigkeitsstufen!$G$7:$G$19,Schwierigkeitsstufen!$H$7:$H$19)))</f>
        <v/>
      </c>
      <c r="AB292" s="250" t="str">
        <f>IF((($A292="")*($B292=""))+((MID($Y292,1,4)&lt;&gt;"Wahl")*(Deckblatt!$C$14='WK-Vorlagen'!$C$82))+(Deckblatt!$C$14&lt;&gt;'WK-Vorlagen'!$C$82),"",IF(ISERROR(MATCH(VALUE(MID(H292,1,2)),Schwierigkeitsstufen!$G$7:$G$19,0)),"Gerät falsch",LOOKUP(VALUE(MID(H292,1,2)),Schwierigkeitsstufen!$G$7:$G$19,Schwierigkeitsstufen!$H$7:$H$19)))</f>
        <v/>
      </c>
      <c r="AC292" s="250" t="str">
        <f>IF((($A292="")*($B292=""))+((MID($Y292,1,4)&lt;&gt;"Wahl")*(Deckblatt!$C$14='WK-Vorlagen'!$C$82))+(Deckblatt!$C$14&lt;&gt;'WK-Vorlagen'!$C$82),"",IF(ISERROR(MATCH(VALUE(MID(I292,1,2)),Schwierigkeitsstufen!$G$7:$G$19,0)),"Gerät falsch",LOOKUP(VALUE(MID(I292,1,2)),Schwierigkeitsstufen!$G$7:$G$19,Schwierigkeitsstufen!$H$7:$H$19)))</f>
        <v/>
      </c>
      <c r="AD292" s="251" t="str">
        <f>IF((($A292="")*($B292=""))+((MID($Y292,1,4)&lt;&gt;"Wahl")*(Deckblatt!$C$14='WK-Vorlagen'!$C$82))+(Deckblatt!$C$14&lt;&gt;'WK-Vorlagen'!$C$82),"",IF(ISERROR(MATCH(VALUE(MID(J292,1,2)),Schwierigkeitsstufen!$G$7:$G$19,0)),"Gerät falsch",LOOKUP(VALUE(MID(J292,1,2)),Schwierigkeitsstufen!$G$7:$G$19,Schwierigkeitsstufen!$H$7:$H$19)))</f>
        <v/>
      </c>
      <c r="AE292" s="211"/>
      <c r="AG292" s="221" t="str">
        <f t="shared" si="36"/>
        <v/>
      </c>
      <c r="AH292" s="222" t="str">
        <f t="shared" si="38"/>
        <v/>
      </c>
      <c r="AI292" s="220">
        <f t="shared" si="43"/>
        <v>4</v>
      </c>
      <c r="AJ292" s="222">
        <f t="shared" si="39"/>
        <v>0</v>
      </c>
      <c r="AK292" s="299" t="str">
        <f>IF(ISERROR(LOOKUP(E292,WKNrListe,Übersicht!$R$7:$R$46)),"-",LOOKUP(E292,WKNrListe,Übersicht!$R$7:$R$46))</f>
        <v>-</v>
      </c>
      <c r="AL292" s="299" t="str">
        <f t="shared" si="42"/>
        <v>-</v>
      </c>
      <c r="AM292" s="303"/>
      <c r="AN292" s="174" t="str">
        <f t="shared" si="35"/>
        <v>Leer</v>
      </c>
    </row>
    <row r="293" spans="1:40" s="174" customFormat="1" ht="15" customHeight="1">
      <c r="A293" s="63"/>
      <c r="B293" s="63"/>
      <c r="C293" s="84"/>
      <c r="D293" s="85"/>
      <c r="E293" s="62"/>
      <c r="F293" s="62"/>
      <c r="G293" s="62"/>
      <c r="H293" s="62"/>
      <c r="I293" s="62"/>
      <c r="J293" s="62"/>
      <c r="K293" s="62"/>
      <c r="L293" s="62"/>
      <c r="M293" s="62"/>
      <c r="N293" s="62"/>
      <c r="O293" s="62"/>
      <c r="P293" s="62"/>
      <c r="Q293" s="62"/>
      <c r="R293" s="62"/>
      <c r="S293" s="258"/>
      <c r="T293" s="248" t="str">
        <f t="shared" si="40"/>
        <v/>
      </c>
      <c r="U293" s="249" t="str">
        <f t="shared" si="41"/>
        <v/>
      </c>
      <c r="V293" s="294" t="str">
        <f t="shared" si="37"/>
        <v/>
      </c>
      <c r="W293" s="294" t="str">
        <f>IF(((E293="")+(F293="")),"",IF(VLOOKUP(F293,Mannschaften!$A$1:$B$54,2,FALSE)&lt;&gt;E293,"Reiter Mannschaften füllen",""))</f>
        <v/>
      </c>
      <c r="X293" s="248" t="str">
        <f>IF(ISBLANK(C293),"",IF((U293&gt;(LOOKUP(E293,WKNrListe,Übersicht!$O$7:$O$46)))+(U293&lt;(LOOKUP(E293,WKNrListe,Übersicht!$P$7:$P$46))),"JG falsch",""))</f>
        <v/>
      </c>
      <c r="Y293" s="255" t="str">
        <f>IF((A293="")*(B293=""),"",IF(ISERROR(MATCH(E293,WKNrListe,0)),"WK falsch",LOOKUP(E293,WKNrListe,Übersicht!$B$7:$B$46)))</f>
        <v/>
      </c>
      <c r="Z293" s="269" t="str">
        <f>IF(((AJ293=0)*(AH293&lt;&gt;"")*(AK293="-"))+((AJ293&lt;&gt;0)*(AH293&lt;&gt;"")*(AK293="-")),IF(AG293="X",Übersicht!$C$70,Übersicht!$C$69),"-")</f>
        <v>-</v>
      </c>
      <c r="AA293" s="252" t="str">
        <f>IF((($A293="")*($B293=""))+((MID($Y293,1,4)&lt;&gt;"Wahl")*(Deckblatt!$C$14='WK-Vorlagen'!$C$82))+(Deckblatt!$C$14&lt;&gt;'WK-Vorlagen'!$C$82),"",IF(ISERROR(MATCH(VALUE(MID(G293,1,2)),Schwierigkeitsstufen!$G$7:$G$19,0)),"Gerät falsch",LOOKUP(VALUE(MID(G293,1,2)),Schwierigkeitsstufen!$G$7:$G$19,Schwierigkeitsstufen!$H$7:$H$19)))</f>
        <v/>
      </c>
      <c r="AB293" s="250" t="str">
        <f>IF((($A293="")*($B293=""))+((MID($Y293,1,4)&lt;&gt;"Wahl")*(Deckblatt!$C$14='WK-Vorlagen'!$C$82))+(Deckblatt!$C$14&lt;&gt;'WK-Vorlagen'!$C$82),"",IF(ISERROR(MATCH(VALUE(MID(H293,1,2)),Schwierigkeitsstufen!$G$7:$G$19,0)),"Gerät falsch",LOOKUP(VALUE(MID(H293,1,2)),Schwierigkeitsstufen!$G$7:$G$19,Schwierigkeitsstufen!$H$7:$H$19)))</f>
        <v/>
      </c>
      <c r="AC293" s="250" t="str">
        <f>IF((($A293="")*($B293=""))+((MID($Y293,1,4)&lt;&gt;"Wahl")*(Deckblatt!$C$14='WK-Vorlagen'!$C$82))+(Deckblatt!$C$14&lt;&gt;'WK-Vorlagen'!$C$82),"",IF(ISERROR(MATCH(VALUE(MID(I293,1,2)),Schwierigkeitsstufen!$G$7:$G$19,0)),"Gerät falsch",LOOKUP(VALUE(MID(I293,1,2)),Schwierigkeitsstufen!$G$7:$G$19,Schwierigkeitsstufen!$H$7:$H$19)))</f>
        <v/>
      </c>
      <c r="AD293" s="251" t="str">
        <f>IF((($A293="")*($B293=""))+((MID($Y293,1,4)&lt;&gt;"Wahl")*(Deckblatt!$C$14='WK-Vorlagen'!$C$82))+(Deckblatt!$C$14&lt;&gt;'WK-Vorlagen'!$C$82),"",IF(ISERROR(MATCH(VALUE(MID(J293,1,2)),Schwierigkeitsstufen!$G$7:$G$19,0)),"Gerät falsch",LOOKUP(VALUE(MID(J293,1,2)),Schwierigkeitsstufen!$G$7:$G$19,Schwierigkeitsstufen!$H$7:$H$19)))</f>
        <v/>
      </c>
      <c r="AE293" s="211"/>
      <c r="AG293" s="221" t="str">
        <f t="shared" si="36"/>
        <v/>
      </c>
      <c r="AH293" s="222" t="str">
        <f t="shared" si="38"/>
        <v/>
      </c>
      <c r="AI293" s="220">
        <f t="shared" si="43"/>
        <v>4</v>
      </c>
      <c r="AJ293" s="222">
        <f t="shared" si="39"/>
        <v>0</v>
      </c>
      <c r="AK293" s="299" t="str">
        <f>IF(ISERROR(LOOKUP(E293,WKNrListe,Übersicht!$R$7:$R$46)),"-",LOOKUP(E293,WKNrListe,Übersicht!$R$7:$R$46))</f>
        <v>-</v>
      </c>
      <c r="AL293" s="299" t="str">
        <f t="shared" si="42"/>
        <v>-</v>
      </c>
      <c r="AM293" s="303"/>
      <c r="AN293" s="174" t="str">
        <f t="shared" si="35"/>
        <v>Leer</v>
      </c>
    </row>
    <row r="294" spans="1:40" s="174" customFormat="1" ht="15" customHeight="1">
      <c r="A294" s="63"/>
      <c r="B294" s="63"/>
      <c r="C294" s="84"/>
      <c r="D294" s="85"/>
      <c r="E294" s="62"/>
      <c r="F294" s="62"/>
      <c r="G294" s="62"/>
      <c r="H294" s="62"/>
      <c r="I294" s="62"/>
      <c r="J294" s="62"/>
      <c r="K294" s="62"/>
      <c r="L294" s="62"/>
      <c r="M294" s="62"/>
      <c r="N294" s="62"/>
      <c r="O294" s="62"/>
      <c r="P294" s="62"/>
      <c r="Q294" s="62"/>
      <c r="R294" s="62"/>
      <c r="S294" s="258"/>
      <c r="T294" s="248" t="str">
        <f t="shared" si="40"/>
        <v/>
      </c>
      <c r="U294" s="249" t="str">
        <f t="shared" si="41"/>
        <v/>
      </c>
      <c r="V294" s="294" t="str">
        <f t="shared" si="37"/>
        <v/>
      </c>
      <c r="W294" s="294" t="str">
        <f>IF(((E294="")+(F294="")),"",IF(VLOOKUP(F294,Mannschaften!$A$1:$B$54,2,FALSE)&lt;&gt;E294,"Reiter Mannschaften füllen",""))</f>
        <v/>
      </c>
      <c r="X294" s="248" t="str">
        <f>IF(ISBLANK(C294),"",IF((U294&gt;(LOOKUP(E294,WKNrListe,Übersicht!$O$7:$O$46)))+(U294&lt;(LOOKUP(E294,WKNrListe,Übersicht!$P$7:$P$46))),"JG falsch",""))</f>
        <v/>
      </c>
      <c r="Y294" s="255" t="str">
        <f>IF((A294="")*(B294=""),"",IF(ISERROR(MATCH(E294,WKNrListe,0)),"WK falsch",LOOKUP(E294,WKNrListe,Übersicht!$B$7:$B$46)))</f>
        <v/>
      </c>
      <c r="Z294" s="269" t="str">
        <f>IF(((AJ294=0)*(AH294&lt;&gt;"")*(AK294="-"))+((AJ294&lt;&gt;0)*(AH294&lt;&gt;"")*(AK294="-")),IF(AG294="X",Übersicht!$C$70,Übersicht!$C$69),"-")</f>
        <v>-</v>
      </c>
      <c r="AA294" s="252" t="str">
        <f>IF((($A294="")*($B294=""))+((MID($Y294,1,4)&lt;&gt;"Wahl")*(Deckblatt!$C$14='WK-Vorlagen'!$C$82))+(Deckblatt!$C$14&lt;&gt;'WK-Vorlagen'!$C$82),"",IF(ISERROR(MATCH(VALUE(MID(G294,1,2)),Schwierigkeitsstufen!$G$7:$G$19,0)),"Gerät falsch",LOOKUP(VALUE(MID(G294,1,2)),Schwierigkeitsstufen!$G$7:$G$19,Schwierigkeitsstufen!$H$7:$H$19)))</f>
        <v/>
      </c>
      <c r="AB294" s="250" t="str">
        <f>IF((($A294="")*($B294=""))+((MID($Y294,1,4)&lt;&gt;"Wahl")*(Deckblatt!$C$14='WK-Vorlagen'!$C$82))+(Deckblatt!$C$14&lt;&gt;'WK-Vorlagen'!$C$82),"",IF(ISERROR(MATCH(VALUE(MID(H294,1,2)),Schwierigkeitsstufen!$G$7:$G$19,0)),"Gerät falsch",LOOKUP(VALUE(MID(H294,1,2)),Schwierigkeitsstufen!$G$7:$G$19,Schwierigkeitsstufen!$H$7:$H$19)))</f>
        <v/>
      </c>
      <c r="AC294" s="250" t="str">
        <f>IF((($A294="")*($B294=""))+((MID($Y294,1,4)&lt;&gt;"Wahl")*(Deckblatt!$C$14='WK-Vorlagen'!$C$82))+(Deckblatt!$C$14&lt;&gt;'WK-Vorlagen'!$C$82),"",IF(ISERROR(MATCH(VALUE(MID(I294,1,2)),Schwierigkeitsstufen!$G$7:$G$19,0)),"Gerät falsch",LOOKUP(VALUE(MID(I294,1,2)),Schwierigkeitsstufen!$G$7:$G$19,Schwierigkeitsstufen!$H$7:$H$19)))</f>
        <v/>
      </c>
      <c r="AD294" s="251" t="str">
        <f>IF((($A294="")*($B294=""))+((MID($Y294,1,4)&lt;&gt;"Wahl")*(Deckblatt!$C$14='WK-Vorlagen'!$C$82))+(Deckblatt!$C$14&lt;&gt;'WK-Vorlagen'!$C$82),"",IF(ISERROR(MATCH(VALUE(MID(J294,1,2)),Schwierigkeitsstufen!$G$7:$G$19,0)),"Gerät falsch",LOOKUP(VALUE(MID(J294,1,2)),Schwierigkeitsstufen!$G$7:$G$19,Schwierigkeitsstufen!$H$7:$H$19)))</f>
        <v/>
      </c>
      <c r="AE294" s="211"/>
      <c r="AG294" s="221" t="str">
        <f t="shared" si="36"/>
        <v/>
      </c>
      <c r="AH294" s="222" t="str">
        <f t="shared" si="38"/>
        <v/>
      </c>
      <c r="AI294" s="220">
        <f t="shared" si="43"/>
        <v>4</v>
      </c>
      <c r="AJ294" s="222">
        <f t="shared" si="39"/>
        <v>0</v>
      </c>
      <c r="AK294" s="299" t="str">
        <f>IF(ISERROR(LOOKUP(E294,WKNrListe,Übersicht!$R$7:$R$46)),"-",LOOKUP(E294,WKNrListe,Übersicht!$R$7:$R$46))</f>
        <v>-</v>
      </c>
      <c r="AL294" s="299" t="str">
        <f t="shared" si="42"/>
        <v>-</v>
      </c>
      <c r="AM294" s="303"/>
      <c r="AN294" s="174" t="str">
        <f t="shared" si="35"/>
        <v>Leer</v>
      </c>
    </row>
    <row r="295" spans="1:40" s="174" customFormat="1" ht="15" customHeight="1">
      <c r="A295" s="63"/>
      <c r="B295" s="63"/>
      <c r="C295" s="84"/>
      <c r="D295" s="85"/>
      <c r="E295" s="62"/>
      <c r="F295" s="62"/>
      <c r="G295" s="62"/>
      <c r="H295" s="62"/>
      <c r="I295" s="62"/>
      <c r="J295" s="62"/>
      <c r="K295" s="62"/>
      <c r="L295" s="62"/>
      <c r="M295" s="62"/>
      <c r="N295" s="62"/>
      <c r="O295" s="62"/>
      <c r="P295" s="62"/>
      <c r="Q295" s="62"/>
      <c r="R295" s="62"/>
      <c r="S295" s="258"/>
      <c r="T295" s="248" t="str">
        <f t="shared" si="40"/>
        <v/>
      </c>
      <c r="U295" s="249" t="str">
        <f t="shared" si="41"/>
        <v/>
      </c>
      <c r="V295" s="294" t="str">
        <f t="shared" si="37"/>
        <v/>
      </c>
      <c r="W295" s="294" t="str">
        <f>IF(((E295="")+(F295="")),"",IF(VLOOKUP(F295,Mannschaften!$A$1:$B$54,2,FALSE)&lt;&gt;E295,"Reiter Mannschaften füllen",""))</f>
        <v/>
      </c>
      <c r="X295" s="248" t="str">
        <f>IF(ISBLANK(C295),"",IF((U295&gt;(LOOKUP(E295,WKNrListe,Übersicht!$O$7:$O$46)))+(U295&lt;(LOOKUP(E295,WKNrListe,Übersicht!$P$7:$P$46))),"JG falsch",""))</f>
        <v/>
      </c>
      <c r="Y295" s="255" t="str">
        <f>IF((A295="")*(B295=""),"",IF(ISERROR(MATCH(E295,WKNrListe,0)),"WK falsch",LOOKUP(E295,WKNrListe,Übersicht!$B$7:$B$46)))</f>
        <v/>
      </c>
      <c r="Z295" s="269" t="str">
        <f>IF(((AJ295=0)*(AH295&lt;&gt;"")*(AK295="-"))+((AJ295&lt;&gt;0)*(AH295&lt;&gt;"")*(AK295="-")),IF(AG295="X",Übersicht!$C$70,Übersicht!$C$69),"-")</f>
        <v>-</v>
      </c>
      <c r="AA295" s="252" t="str">
        <f>IF((($A295="")*($B295=""))+((MID($Y295,1,4)&lt;&gt;"Wahl")*(Deckblatt!$C$14='WK-Vorlagen'!$C$82))+(Deckblatt!$C$14&lt;&gt;'WK-Vorlagen'!$C$82),"",IF(ISERROR(MATCH(VALUE(MID(G295,1,2)),Schwierigkeitsstufen!$G$7:$G$19,0)),"Gerät falsch",LOOKUP(VALUE(MID(G295,1,2)),Schwierigkeitsstufen!$G$7:$G$19,Schwierigkeitsstufen!$H$7:$H$19)))</f>
        <v/>
      </c>
      <c r="AB295" s="250" t="str">
        <f>IF((($A295="")*($B295=""))+((MID($Y295,1,4)&lt;&gt;"Wahl")*(Deckblatt!$C$14='WK-Vorlagen'!$C$82))+(Deckblatt!$C$14&lt;&gt;'WK-Vorlagen'!$C$82),"",IF(ISERROR(MATCH(VALUE(MID(H295,1,2)),Schwierigkeitsstufen!$G$7:$G$19,0)),"Gerät falsch",LOOKUP(VALUE(MID(H295,1,2)),Schwierigkeitsstufen!$G$7:$G$19,Schwierigkeitsstufen!$H$7:$H$19)))</f>
        <v/>
      </c>
      <c r="AC295" s="250" t="str">
        <f>IF((($A295="")*($B295=""))+((MID($Y295,1,4)&lt;&gt;"Wahl")*(Deckblatt!$C$14='WK-Vorlagen'!$C$82))+(Deckblatt!$C$14&lt;&gt;'WK-Vorlagen'!$C$82),"",IF(ISERROR(MATCH(VALUE(MID(I295,1,2)),Schwierigkeitsstufen!$G$7:$G$19,0)),"Gerät falsch",LOOKUP(VALUE(MID(I295,1,2)),Schwierigkeitsstufen!$G$7:$G$19,Schwierigkeitsstufen!$H$7:$H$19)))</f>
        <v/>
      </c>
      <c r="AD295" s="251" t="str">
        <f>IF((($A295="")*($B295=""))+((MID($Y295,1,4)&lt;&gt;"Wahl")*(Deckblatt!$C$14='WK-Vorlagen'!$C$82))+(Deckblatt!$C$14&lt;&gt;'WK-Vorlagen'!$C$82),"",IF(ISERROR(MATCH(VALUE(MID(J295,1,2)),Schwierigkeitsstufen!$G$7:$G$19,0)),"Gerät falsch",LOOKUP(VALUE(MID(J295,1,2)),Schwierigkeitsstufen!$G$7:$G$19,Schwierigkeitsstufen!$H$7:$H$19)))</f>
        <v/>
      </c>
      <c r="AE295" s="211"/>
      <c r="AG295" s="221" t="str">
        <f t="shared" si="36"/>
        <v/>
      </c>
      <c r="AH295" s="222" t="str">
        <f t="shared" si="38"/>
        <v/>
      </c>
      <c r="AI295" s="220">
        <f t="shared" si="43"/>
        <v>4</v>
      </c>
      <c r="AJ295" s="222">
        <f t="shared" si="39"/>
        <v>0</v>
      </c>
      <c r="AK295" s="299" t="str">
        <f>IF(ISERROR(LOOKUP(E295,WKNrListe,Übersicht!$R$7:$R$46)),"-",LOOKUP(E295,WKNrListe,Übersicht!$R$7:$R$46))</f>
        <v>-</v>
      </c>
      <c r="AL295" s="299" t="str">
        <f t="shared" si="42"/>
        <v>-</v>
      </c>
      <c r="AM295" s="303"/>
      <c r="AN295" s="174" t="str">
        <f t="shared" si="35"/>
        <v>Leer</v>
      </c>
    </row>
    <row r="296" spans="1:40" s="174" customFormat="1" ht="15" customHeight="1">
      <c r="A296" s="63"/>
      <c r="B296" s="63"/>
      <c r="C296" s="84"/>
      <c r="D296" s="85"/>
      <c r="E296" s="62"/>
      <c r="F296" s="62"/>
      <c r="G296" s="62"/>
      <c r="H296" s="62"/>
      <c r="I296" s="62"/>
      <c r="J296" s="62"/>
      <c r="K296" s="62"/>
      <c r="L296" s="62"/>
      <c r="M296" s="62"/>
      <c r="N296" s="62"/>
      <c r="O296" s="62"/>
      <c r="P296" s="62"/>
      <c r="Q296" s="62"/>
      <c r="R296" s="62"/>
      <c r="S296" s="258"/>
      <c r="T296" s="248" t="str">
        <f t="shared" si="40"/>
        <v/>
      </c>
      <c r="U296" s="249" t="str">
        <f t="shared" si="41"/>
        <v/>
      </c>
      <c r="V296" s="294" t="str">
        <f t="shared" si="37"/>
        <v/>
      </c>
      <c r="W296" s="294" t="str">
        <f>IF(((E296="")+(F296="")),"",IF(VLOOKUP(F296,Mannschaften!$A$1:$B$54,2,FALSE)&lt;&gt;E296,"Reiter Mannschaften füllen",""))</f>
        <v/>
      </c>
      <c r="X296" s="248" t="str">
        <f>IF(ISBLANK(C296),"",IF((U296&gt;(LOOKUP(E296,WKNrListe,Übersicht!$O$7:$O$46)))+(U296&lt;(LOOKUP(E296,WKNrListe,Übersicht!$P$7:$P$46))),"JG falsch",""))</f>
        <v/>
      </c>
      <c r="Y296" s="255" t="str">
        <f>IF((A296="")*(B296=""),"",IF(ISERROR(MATCH(E296,WKNrListe,0)),"WK falsch",LOOKUP(E296,WKNrListe,Übersicht!$B$7:$B$46)))</f>
        <v/>
      </c>
      <c r="Z296" s="269" t="str">
        <f>IF(((AJ296=0)*(AH296&lt;&gt;"")*(AK296="-"))+((AJ296&lt;&gt;0)*(AH296&lt;&gt;"")*(AK296="-")),IF(AG296="X",Übersicht!$C$70,Übersicht!$C$69),"-")</f>
        <v>-</v>
      </c>
      <c r="AA296" s="252" t="str">
        <f>IF((($A296="")*($B296=""))+((MID($Y296,1,4)&lt;&gt;"Wahl")*(Deckblatt!$C$14='WK-Vorlagen'!$C$82))+(Deckblatt!$C$14&lt;&gt;'WK-Vorlagen'!$C$82),"",IF(ISERROR(MATCH(VALUE(MID(G296,1,2)),Schwierigkeitsstufen!$G$7:$G$19,0)),"Gerät falsch",LOOKUP(VALUE(MID(G296,1,2)),Schwierigkeitsstufen!$G$7:$G$19,Schwierigkeitsstufen!$H$7:$H$19)))</f>
        <v/>
      </c>
      <c r="AB296" s="250" t="str">
        <f>IF((($A296="")*($B296=""))+((MID($Y296,1,4)&lt;&gt;"Wahl")*(Deckblatt!$C$14='WK-Vorlagen'!$C$82))+(Deckblatt!$C$14&lt;&gt;'WK-Vorlagen'!$C$82),"",IF(ISERROR(MATCH(VALUE(MID(H296,1,2)),Schwierigkeitsstufen!$G$7:$G$19,0)),"Gerät falsch",LOOKUP(VALUE(MID(H296,1,2)),Schwierigkeitsstufen!$G$7:$G$19,Schwierigkeitsstufen!$H$7:$H$19)))</f>
        <v/>
      </c>
      <c r="AC296" s="250" t="str">
        <f>IF((($A296="")*($B296=""))+((MID($Y296,1,4)&lt;&gt;"Wahl")*(Deckblatt!$C$14='WK-Vorlagen'!$C$82))+(Deckblatt!$C$14&lt;&gt;'WK-Vorlagen'!$C$82),"",IF(ISERROR(MATCH(VALUE(MID(I296,1,2)),Schwierigkeitsstufen!$G$7:$G$19,0)),"Gerät falsch",LOOKUP(VALUE(MID(I296,1,2)),Schwierigkeitsstufen!$G$7:$G$19,Schwierigkeitsstufen!$H$7:$H$19)))</f>
        <v/>
      </c>
      <c r="AD296" s="251" t="str">
        <f>IF((($A296="")*($B296=""))+((MID($Y296,1,4)&lt;&gt;"Wahl")*(Deckblatt!$C$14='WK-Vorlagen'!$C$82))+(Deckblatt!$C$14&lt;&gt;'WK-Vorlagen'!$C$82),"",IF(ISERROR(MATCH(VALUE(MID(J296,1,2)),Schwierigkeitsstufen!$G$7:$G$19,0)),"Gerät falsch",LOOKUP(VALUE(MID(J296,1,2)),Schwierigkeitsstufen!$G$7:$G$19,Schwierigkeitsstufen!$H$7:$H$19)))</f>
        <v/>
      </c>
      <c r="AE296" s="211"/>
      <c r="AG296" s="221" t="str">
        <f t="shared" si="36"/>
        <v/>
      </c>
      <c r="AH296" s="222" t="str">
        <f t="shared" si="38"/>
        <v/>
      </c>
      <c r="AI296" s="220">
        <f t="shared" si="43"/>
        <v>4</v>
      </c>
      <c r="AJ296" s="222">
        <f t="shared" si="39"/>
        <v>0</v>
      </c>
      <c r="AK296" s="299" t="str">
        <f>IF(ISERROR(LOOKUP(E296,WKNrListe,Übersicht!$R$7:$R$46)),"-",LOOKUP(E296,WKNrListe,Übersicht!$R$7:$R$46))</f>
        <v>-</v>
      </c>
      <c r="AL296" s="299" t="str">
        <f t="shared" si="42"/>
        <v>-</v>
      </c>
      <c r="AM296" s="303"/>
      <c r="AN296" s="174" t="str">
        <f t="shared" si="35"/>
        <v>Leer</v>
      </c>
    </row>
    <row r="297" spans="1:40" s="174" customFormat="1" ht="15" customHeight="1">
      <c r="A297" s="63"/>
      <c r="B297" s="63"/>
      <c r="C297" s="84"/>
      <c r="D297" s="85"/>
      <c r="E297" s="62"/>
      <c r="F297" s="62"/>
      <c r="G297" s="62"/>
      <c r="H297" s="62"/>
      <c r="I297" s="62"/>
      <c r="J297" s="62"/>
      <c r="K297" s="62"/>
      <c r="L297" s="62"/>
      <c r="M297" s="62"/>
      <c r="N297" s="62"/>
      <c r="O297" s="62"/>
      <c r="P297" s="62"/>
      <c r="Q297" s="62"/>
      <c r="R297" s="62"/>
      <c r="S297" s="258"/>
      <c r="T297" s="248" t="str">
        <f t="shared" si="40"/>
        <v/>
      </c>
      <c r="U297" s="249" t="str">
        <f t="shared" si="41"/>
        <v/>
      </c>
      <c r="V297" s="294" t="str">
        <f t="shared" si="37"/>
        <v/>
      </c>
      <c r="W297" s="294" t="str">
        <f>IF(((E297="")+(F297="")),"",IF(VLOOKUP(F297,Mannschaften!$A$1:$B$54,2,FALSE)&lt;&gt;E297,"Reiter Mannschaften füllen",""))</f>
        <v/>
      </c>
      <c r="X297" s="248" t="str">
        <f>IF(ISBLANK(C297),"",IF((U297&gt;(LOOKUP(E297,WKNrListe,Übersicht!$O$7:$O$46)))+(U297&lt;(LOOKUP(E297,WKNrListe,Übersicht!$P$7:$P$46))),"JG falsch",""))</f>
        <v/>
      </c>
      <c r="Y297" s="255" t="str">
        <f>IF((A297="")*(B297=""),"",IF(ISERROR(MATCH(E297,WKNrListe,0)),"WK falsch",LOOKUP(E297,WKNrListe,Übersicht!$B$7:$B$46)))</f>
        <v/>
      </c>
      <c r="Z297" s="269" t="str">
        <f>IF(((AJ297=0)*(AH297&lt;&gt;"")*(AK297="-"))+((AJ297&lt;&gt;0)*(AH297&lt;&gt;"")*(AK297="-")),IF(AG297="X",Übersicht!$C$70,Übersicht!$C$69),"-")</f>
        <v>-</v>
      </c>
      <c r="AA297" s="252" t="str">
        <f>IF((($A297="")*($B297=""))+((MID($Y297,1,4)&lt;&gt;"Wahl")*(Deckblatt!$C$14='WK-Vorlagen'!$C$82))+(Deckblatt!$C$14&lt;&gt;'WK-Vorlagen'!$C$82),"",IF(ISERROR(MATCH(VALUE(MID(G297,1,2)),Schwierigkeitsstufen!$G$7:$G$19,0)),"Gerät falsch",LOOKUP(VALUE(MID(G297,1,2)),Schwierigkeitsstufen!$G$7:$G$19,Schwierigkeitsstufen!$H$7:$H$19)))</f>
        <v/>
      </c>
      <c r="AB297" s="250" t="str">
        <f>IF((($A297="")*($B297=""))+((MID($Y297,1,4)&lt;&gt;"Wahl")*(Deckblatt!$C$14='WK-Vorlagen'!$C$82))+(Deckblatt!$C$14&lt;&gt;'WK-Vorlagen'!$C$82),"",IF(ISERROR(MATCH(VALUE(MID(H297,1,2)),Schwierigkeitsstufen!$G$7:$G$19,0)),"Gerät falsch",LOOKUP(VALUE(MID(H297,1,2)),Schwierigkeitsstufen!$G$7:$G$19,Schwierigkeitsstufen!$H$7:$H$19)))</f>
        <v/>
      </c>
      <c r="AC297" s="250" t="str">
        <f>IF((($A297="")*($B297=""))+((MID($Y297,1,4)&lt;&gt;"Wahl")*(Deckblatt!$C$14='WK-Vorlagen'!$C$82))+(Deckblatt!$C$14&lt;&gt;'WK-Vorlagen'!$C$82),"",IF(ISERROR(MATCH(VALUE(MID(I297,1,2)),Schwierigkeitsstufen!$G$7:$G$19,0)),"Gerät falsch",LOOKUP(VALUE(MID(I297,1,2)),Schwierigkeitsstufen!$G$7:$G$19,Schwierigkeitsstufen!$H$7:$H$19)))</f>
        <v/>
      </c>
      <c r="AD297" s="251" t="str">
        <f>IF((($A297="")*($B297=""))+((MID($Y297,1,4)&lt;&gt;"Wahl")*(Deckblatt!$C$14='WK-Vorlagen'!$C$82))+(Deckblatt!$C$14&lt;&gt;'WK-Vorlagen'!$C$82),"",IF(ISERROR(MATCH(VALUE(MID(J297,1,2)),Schwierigkeitsstufen!$G$7:$G$19,0)),"Gerät falsch",LOOKUP(VALUE(MID(J297,1,2)),Schwierigkeitsstufen!$G$7:$G$19,Schwierigkeitsstufen!$H$7:$H$19)))</f>
        <v/>
      </c>
      <c r="AE297" s="211"/>
      <c r="AG297" s="221" t="str">
        <f t="shared" si="36"/>
        <v/>
      </c>
      <c r="AH297" s="222" t="str">
        <f t="shared" si="38"/>
        <v/>
      </c>
      <c r="AI297" s="220">
        <f t="shared" si="43"/>
        <v>4</v>
      </c>
      <c r="AJ297" s="222">
        <f t="shared" si="39"/>
        <v>0</v>
      </c>
      <c r="AK297" s="299" t="str">
        <f>IF(ISERROR(LOOKUP(E297,WKNrListe,Übersicht!$R$7:$R$46)),"-",LOOKUP(E297,WKNrListe,Übersicht!$R$7:$R$46))</f>
        <v>-</v>
      </c>
      <c r="AL297" s="299" t="str">
        <f t="shared" si="42"/>
        <v>-</v>
      </c>
      <c r="AM297" s="303"/>
      <c r="AN297" s="174" t="str">
        <f t="shared" si="35"/>
        <v>Leer</v>
      </c>
    </row>
    <row r="298" spans="1:40" s="174" customFormat="1" ht="15" customHeight="1">
      <c r="A298" s="63"/>
      <c r="B298" s="63"/>
      <c r="C298" s="84"/>
      <c r="D298" s="85"/>
      <c r="E298" s="62"/>
      <c r="F298" s="62"/>
      <c r="G298" s="62"/>
      <c r="H298" s="62"/>
      <c r="I298" s="62"/>
      <c r="J298" s="62"/>
      <c r="K298" s="62"/>
      <c r="L298" s="62"/>
      <c r="M298" s="62"/>
      <c r="N298" s="62"/>
      <c r="O298" s="62"/>
      <c r="P298" s="62"/>
      <c r="Q298" s="62"/>
      <c r="R298" s="62"/>
      <c r="S298" s="258"/>
      <c r="T298" s="248" t="str">
        <f t="shared" si="40"/>
        <v/>
      </c>
      <c r="U298" s="249" t="str">
        <f t="shared" si="41"/>
        <v/>
      </c>
      <c r="V298" s="294" t="str">
        <f t="shared" si="37"/>
        <v/>
      </c>
      <c r="W298" s="294" t="str">
        <f>IF(((E298="")+(F298="")),"",IF(VLOOKUP(F298,Mannschaften!$A$1:$B$54,2,FALSE)&lt;&gt;E298,"Reiter Mannschaften füllen",""))</f>
        <v/>
      </c>
      <c r="X298" s="248" t="str">
        <f>IF(ISBLANK(C298),"",IF((U298&gt;(LOOKUP(E298,WKNrListe,Übersicht!$O$7:$O$46)))+(U298&lt;(LOOKUP(E298,WKNrListe,Übersicht!$P$7:$P$46))),"JG falsch",""))</f>
        <v/>
      </c>
      <c r="Y298" s="255" t="str">
        <f>IF((A298="")*(B298=""),"",IF(ISERROR(MATCH(E298,WKNrListe,0)),"WK falsch",LOOKUP(E298,WKNrListe,Übersicht!$B$7:$B$46)))</f>
        <v/>
      </c>
      <c r="Z298" s="269" t="str">
        <f>IF(((AJ298=0)*(AH298&lt;&gt;"")*(AK298="-"))+((AJ298&lt;&gt;0)*(AH298&lt;&gt;"")*(AK298="-")),IF(AG298="X",Übersicht!$C$70,Übersicht!$C$69),"-")</f>
        <v>-</v>
      </c>
      <c r="AA298" s="252" t="str">
        <f>IF((($A298="")*($B298=""))+((MID($Y298,1,4)&lt;&gt;"Wahl")*(Deckblatt!$C$14='WK-Vorlagen'!$C$82))+(Deckblatt!$C$14&lt;&gt;'WK-Vorlagen'!$C$82),"",IF(ISERROR(MATCH(VALUE(MID(G298,1,2)),Schwierigkeitsstufen!$G$7:$G$19,0)),"Gerät falsch",LOOKUP(VALUE(MID(G298,1,2)),Schwierigkeitsstufen!$G$7:$G$19,Schwierigkeitsstufen!$H$7:$H$19)))</f>
        <v/>
      </c>
      <c r="AB298" s="250" t="str">
        <f>IF((($A298="")*($B298=""))+((MID($Y298,1,4)&lt;&gt;"Wahl")*(Deckblatt!$C$14='WK-Vorlagen'!$C$82))+(Deckblatt!$C$14&lt;&gt;'WK-Vorlagen'!$C$82),"",IF(ISERROR(MATCH(VALUE(MID(H298,1,2)),Schwierigkeitsstufen!$G$7:$G$19,0)),"Gerät falsch",LOOKUP(VALUE(MID(H298,1,2)),Schwierigkeitsstufen!$G$7:$G$19,Schwierigkeitsstufen!$H$7:$H$19)))</f>
        <v/>
      </c>
      <c r="AC298" s="250" t="str">
        <f>IF((($A298="")*($B298=""))+((MID($Y298,1,4)&lt;&gt;"Wahl")*(Deckblatt!$C$14='WK-Vorlagen'!$C$82))+(Deckblatt!$C$14&lt;&gt;'WK-Vorlagen'!$C$82),"",IF(ISERROR(MATCH(VALUE(MID(I298,1,2)),Schwierigkeitsstufen!$G$7:$G$19,0)),"Gerät falsch",LOOKUP(VALUE(MID(I298,1,2)),Schwierigkeitsstufen!$G$7:$G$19,Schwierigkeitsstufen!$H$7:$H$19)))</f>
        <v/>
      </c>
      <c r="AD298" s="251" t="str">
        <f>IF((($A298="")*($B298=""))+((MID($Y298,1,4)&lt;&gt;"Wahl")*(Deckblatt!$C$14='WK-Vorlagen'!$C$82))+(Deckblatt!$C$14&lt;&gt;'WK-Vorlagen'!$C$82),"",IF(ISERROR(MATCH(VALUE(MID(J298,1,2)),Schwierigkeitsstufen!$G$7:$G$19,0)),"Gerät falsch",LOOKUP(VALUE(MID(J298,1,2)),Schwierigkeitsstufen!$G$7:$G$19,Schwierigkeitsstufen!$H$7:$H$19)))</f>
        <v/>
      </c>
      <c r="AE298" s="211"/>
      <c r="AG298" s="221" t="str">
        <f t="shared" si="36"/>
        <v/>
      </c>
      <c r="AH298" s="222" t="str">
        <f t="shared" si="38"/>
        <v/>
      </c>
      <c r="AI298" s="220">
        <f t="shared" si="43"/>
        <v>4</v>
      </c>
      <c r="AJ298" s="222">
        <f t="shared" si="39"/>
        <v>0</v>
      </c>
      <c r="AK298" s="299" t="str">
        <f>IF(ISERROR(LOOKUP(E298,WKNrListe,Übersicht!$R$7:$R$46)),"-",LOOKUP(E298,WKNrListe,Übersicht!$R$7:$R$46))</f>
        <v>-</v>
      </c>
      <c r="AL298" s="299" t="str">
        <f t="shared" si="42"/>
        <v>-</v>
      </c>
      <c r="AM298" s="303"/>
      <c r="AN298" s="174" t="str">
        <f t="shared" si="35"/>
        <v>Leer</v>
      </c>
    </row>
    <row r="299" spans="1:40" s="174" customFormat="1" ht="15" customHeight="1">
      <c r="A299" s="63"/>
      <c r="B299" s="63"/>
      <c r="C299" s="84"/>
      <c r="D299" s="85"/>
      <c r="E299" s="62"/>
      <c r="F299" s="62"/>
      <c r="G299" s="62"/>
      <c r="H299" s="62"/>
      <c r="I299" s="62"/>
      <c r="J299" s="62"/>
      <c r="K299" s="62"/>
      <c r="L299" s="62"/>
      <c r="M299" s="62"/>
      <c r="N299" s="62"/>
      <c r="O299" s="62"/>
      <c r="P299" s="62"/>
      <c r="Q299" s="62"/>
      <c r="R299" s="62"/>
      <c r="S299" s="258"/>
      <c r="T299" s="248" t="str">
        <f t="shared" si="40"/>
        <v/>
      </c>
      <c r="U299" s="249" t="str">
        <f t="shared" si="41"/>
        <v/>
      </c>
      <c r="V299" s="294" t="str">
        <f t="shared" si="37"/>
        <v/>
      </c>
      <c r="W299" s="294" t="str">
        <f>IF(((E299="")+(F299="")),"",IF(VLOOKUP(F299,Mannschaften!$A$1:$B$54,2,FALSE)&lt;&gt;E299,"Reiter Mannschaften füllen",""))</f>
        <v/>
      </c>
      <c r="X299" s="248" t="str">
        <f>IF(ISBLANK(C299),"",IF((U299&gt;(LOOKUP(E299,WKNrListe,Übersicht!$O$7:$O$46)))+(U299&lt;(LOOKUP(E299,WKNrListe,Übersicht!$P$7:$P$46))),"JG falsch",""))</f>
        <v/>
      </c>
      <c r="Y299" s="255" t="str">
        <f>IF((A299="")*(B299=""),"",IF(ISERROR(MATCH(E299,WKNrListe,0)),"WK falsch",LOOKUP(E299,WKNrListe,Übersicht!$B$7:$B$46)))</f>
        <v/>
      </c>
      <c r="Z299" s="269" t="str">
        <f>IF(((AJ299=0)*(AH299&lt;&gt;"")*(AK299="-"))+((AJ299&lt;&gt;0)*(AH299&lt;&gt;"")*(AK299="-")),IF(AG299="X",Übersicht!$C$70,Übersicht!$C$69),"-")</f>
        <v>-</v>
      </c>
      <c r="AA299" s="252" t="str">
        <f>IF((($A299="")*($B299=""))+((MID($Y299,1,4)&lt;&gt;"Wahl")*(Deckblatt!$C$14='WK-Vorlagen'!$C$82))+(Deckblatt!$C$14&lt;&gt;'WK-Vorlagen'!$C$82),"",IF(ISERROR(MATCH(VALUE(MID(G299,1,2)),Schwierigkeitsstufen!$G$7:$G$19,0)),"Gerät falsch",LOOKUP(VALUE(MID(G299,1,2)),Schwierigkeitsstufen!$G$7:$G$19,Schwierigkeitsstufen!$H$7:$H$19)))</f>
        <v/>
      </c>
      <c r="AB299" s="250" t="str">
        <f>IF((($A299="")*($B299=""))+((MID($Y299,1,4)&lt;&gt;"Wahl")*(Deckblatt!$C$14='WK-Vorlagen'!$C$82))+(Deckblatt!$C$14&lt;&gt;'WK-Vorlagen'!$C$82),"",IF(ISERROR(MATCH(VALUE(MID(H299,1,2)),Schwierigkeitsstufen!$G$7:$G$19,0)),"Gerät falsch",LOOKUP(VALUE(MID(H299,1,2)),Schwierigkeitsstufen!$G$7:$G$19,Schwierigkeitsstufen!$H$7:$H$19)))</f>
        <v/>
      </c>
      <c r="AC299" s="250" t="str">
        <f>IF((($A299="")*($B299=""))+((MID($Y299,1,4)&lt;&gt;"Wahl")*(Deckblatt!$C$14='WK-Vorlagen'!$C$82))+(Deckblatt!$C$14&lt;&gt;'WK-Vorlagen'!$C$82),"",IF(ISERROR(MATCH(VALUE(MID(I299,1,2)),Schwierigkeitsstufen!$G$7:$G$19,0)),"Gerät falsch",LOOKUP(VALUE(MID(I299,1,2)),Schwierigkeitsstufen!$G$7:$G$19,Schwierigkeitsstufen!$H$7:$H$19)))</f>
        <v/>
      </c>
      <c r="AD299" s="251" t="str">
        <f>IF((($A299="")*($B299=""))+((MID($Y299,1,4)&lt;&gt;"Wahl")*(Deckblatt!$C$14='WK-Vorlagen'!$C$82))+(Deckblatt!$C$14&lt;&gt;'WK-Vorlagen'!$C$82),"",IF(ISERROR(MATCH(VALUE(MID(J299,1,2)),Schwierigkeitsstufen!$G$7:$G$19,0)),"Gerät falsch",LOOKUP(VALUE(MID(J299,1,2)),Schwierigkeitsstufen!$G$7:$G$19,Schwierigkeitsstufen!$H$7:$H$19)))</f>
        <v/>
      </c>
      <c r="AE299" s="211"/>
      <c r="AG299" s="221" t="str">
        <f t="shared" si="36"/>
        <v/>
      </c>
      <c r="AH299" s="222" t="str">
        <f t="shared" si="38"/>
        <v/>
      </c>
      <c r="AI299" s="220">
        <f t="shared" si="43"/>
        <v>4</v>
      </c>
      <c r="AJ299" s="222">
        <f t="shared" si="39"/>
        <v>0</v>
      </c>
      <c r="AK299" s="299" t="str">
        <f>IF(ISERROR(LOOKUP(E299,WKNrListe,Übersicht!$R$7:$R$46)),"-",LOOKUP(E299,WKNrListe,Übersicht!$R$7:$R$46))</f>
        <v>-</v>
      </c>
      <c r="AL299" s="299" t="str">
        <f t="shared" si="42"/>
        <v>-</v>
      </c>
      <c r="AM299" s="303"/>
      <c r="AN299" s="174" t="str">
        <f t="shared" si="35"/>
        <v>Leer</v>
      </c>
    </row>
    <row r="300" spans="1:40" s="174" customFormat="1" ht="15" customHeight="1">
      <c r="A300" s="63"/>
      <c r="B300" s="63"/>
      <c r="C300" s="84"/>
      <c r="D300" s="85"/>
      <c r="E300" s="62"/>
      <c r="F300" s="62"/>
      <c r="G300" s="62"/>
      <c r="H300" s="62"/>
      <c r="I300" s="62"/>
      <c r="J300" s="62"/>
      <c r="K300" s="62"/>
      <c r="L300" s="62"/>
      <c r="M300" s="62"/>
      <c r="N300" s="62"/>
      <c r="O300" s="62"/>
      <c r="P300" s="62"/>
      <c r="Q300" s="62"/>
      <c r="R300" s="62"/>
      <c r="S300" s="258"/>
      <c r="T300" s="248" t="str">
        <f t="shared" si="40"/>
        <v/>
      </c>
      <c r="U300" s="249" t="str">
        <f t="shared" si="41"/>
        <v/>
      </c>
      <c r="V300" s="294" t="str">
        <f t="shared" si="37"/>
        <v/>
      </c>
      <c r="W300" s="294" t="str">
        <f>IF(((E300="")+(F300="")),"",IF(VLOOKUP(F300,Mannschaften!$A$1:$B$54,2,FALSE)&lt;&gt;E300,"Reiter Mannschaften füllen",""))</f>
        <v/>
      </c>
      <c r="X300" s="248" t="str">
        <f>IF(ISBLANK(C300),"",IF((U300&gt;(LOOKUP(E300,WKNrListe,Übersicht!$O$7:$O$46)))+(U300&lt;(LOOKUP(E300,WKNrListe,Übersicht!$P$7:$P$46))),"JG falsch",""))</f>
        <v/>
      </c>
      <c r="Y300" s="255" t="str">
        <f>IF((A300="")*(B300=""),"",IF(ISERROR(MATCH(E300,WKNrListe,0)),"WK falsch",LOOKUP(E300,WKNrListe,Übersicht!$B$7:$B$46)))</f>
        <v/>
      </c>
      <c r="Z300" s="269" t="str">
        <f>IF(((AJ300=0)*(AH300&lt;&gt;"")*(AK300="-"))+((AJ300&lt;&gt;0)*(AH300&lt;&gt;"")*(AK300="-")),IF(AG300="X",Übersicht!$C$70,Übersicht!$C$69),"-")</f>
        <v>-</v>
      </c>
      <c r="AA300" s="252" t="str">
        <f>IF((($A300="")*($B300=""))+((MID($Y300,1,4)&lt;&gt;"Wahl")*(Deckblatt!$C$14='WK-Vorlagen'!$C$82))+(Deckblatt!$C$14&lt;&gt;'WK-Vorlagen'!$C$82),"",IF(ISERROR(MATCH(VALUE(MID(G300,1,2)),Schwierigkeitsstufen!$G$7:$G$19,0)),"Gerät falsch",LOOKUP(VALUE(MID(G300,1,2)),Schwierigkeitsstufen!$G$7:$G$19,Schwierigkeitsstufen!$H$7:$H$19)))</f>
        <v/>
      </c>
      <c r="AB300" s="250" t="str">
        <f>IF((($A300="")*($B300=""))+((MID($Y300,1,4)&lt;&gt;"Wahl")*(Deckblatt!$C$14='WK-Vorlagen'!$C$82))+(Deckblatt!$C$14&lt;&gt;'WK-Vorlagen'!$C$82),"",IF(ISERROR(MATCH(VALUE(MID(H300,1,2)),Schwierigkeitsstufen!$G$7:$G$19,0)),"Gerät falsch",LOOKUP(VALUE(MID(H300,1,2)),Schwierigkeitsstufen!$G$7:$G$19,Schwierigkeitsstufen!$H$7:$H$19)))</f>
        <v/>
      </c>
      <c r="AC300" s="250" t="str">
        <f>IF((($A300="")*($B300=""))+((MID($Y300,1,4)&lt;&gt;"Wahl")*(Deckblatt!$C$14='WK-Vorlagen'!$C$82))+(Deckblatt!$C$14&lt;&gt;'WK-Vorlagen'!$C$82),"",IF(ISERROR(MATCH(VALUE(MID(I300,1,2)),Schwierigkeitsstufen!$G$7:$G$19,0)),"Gerät falsch",LOOKUP(VALUE(MID(I300,1,2)),Schwierigkeitsstufen!$G$7:$G$19,Schwierigkeitsstufen!$H$7:$H$19)))</f>
        <v/>
      </c>
      <c r="AD300" s="251" t="str">
        <f>IF((($A300="")*($B300=""))+((MID($Y300,1,4)&lt;&gt;"Wahl")*(Deckblatt!$C$14='WK-Vorlagen'!$C$82))+(Deckblatt!$C$14&lt;&gt;'WK-Vorlagen'!$C$82),"",IF(ISERROR(MATCH(VALUE(MID(J300,1,2)),Schwierigkeitsstufen!$G$7:$G$19,0)),"Gerät falsch",LOOKUP(VALUE(MID(J300,1,2)),Schwierigkeitsstufen!$G$7:$G$19,Schwierigkeitsstufen!$H$7:$H$19)))</f>
        <v/>
      </c>
      <c r="AE300" s="211"/>
      <c r="AG300" s="221" t="str">
        <f t="shared" si="36"/>
        <v/>
      </c>
      <c r="AH300" s="222" t="str">
        <f t="shared" si="38"/>
        <v/>
      </c>
      <c r="AI300" s="220">
        <f t="shared" si="43"/>
        <v>4</v>
      </c>
      <c r="AJ300" s="222">
        <f t="shared" si="39"/>
        <v>0</v>
      </c>
      <c r="AK300" s="299" t="str">
        <f>IF(ISERROR(LOOKUP(E300,WKNrListe,Übersicht!$R$7:$R$46)),"-",LOOKUP(E300,WKNrListe,Übersicht!$R$7:$R$46))</f>
        <v>-</v>
      </c>
      <c r="AL300" s="299" t="str">
        <f t="shared" si="42"/>
        <v>-</v>
      </c>
      <c r="AM300" s="303"/>
      <c r="AN300" s="174" t="str">
        <f t="shared" si="35"/>
        <v>Leer</v>
      </c>
    </row>
    <row r="301" spans="1:40" s="174" customFormat="1" ht="15" customHeight="1">
      <c r="A301" s="63"/>
      <c r="B301" s="63"/>
      <c r="C301" s="84"/>
      <c r="D301" s="85"/>
      <c r="E301" s="62"/>
      <c r="F301" s="62"/>
      <c r="G301" s="62"/>
      <c r="H301" s="62"/>
      <c r="I301" s="62"/>
      <c r="J301" s="62"/>
      <c r="K301" s="62"/>
      <c r="L301" s="62"/>
      <c r="M301" s="62"/>
      <c r="N301" s="62"/>
      <c r="O301" s="62"/>
      <c r="P301" s="62"/>
      <c r="Q301" s="62"/>
      <c r="R301" s="62"/>
      <c r="S301" s="258"/>
      <c r="T301" s="248" t="str">
        <f t="shared" si="40"/>
        <v/>
      </c>
      <c r="U301" s="249" t="str">
        <f t="shared" si="41"/>
        <v/>
      </c>
      <c r="V301" s="294" t="str">
        <f t="shared" si="37"/>
        <v/>
      </c>
      <c r="W301" s="294" t="str">
        <f>IF(((E301="")+(F301="")),"",IF(VLOOKUP(F301,Mannschaften!$A$1:$B$54,2,FALSE)&lt;&gt;E301,"Reiter Mannschaften füllen",""))</f>
        <v/>
      </c>
      <c r="X301" s="248" t="str">
        <f>IF(ISBLANK(C301),"",IF((U301&gt;(LOOKUP(E301,WKNrListe,Übersicht!$O$7:$O$46)))+(U301&lt;(LOOKUP(E301,WKNrListe,Übersicht!$P$7:$P$46))),"JG falsch",""))</f>
        <v/>
      </c>
      <c r="Y301" s="255" t="str">
        <f>IF((A301="")*(B301=""),"",IF(ISERROR(MATCH(E301,WKNrListe,0)),"WK falsch",LOOKUP(E301,WKNrListe,Übersicht!$B$7:$B$46)))</f>
        <v/>
      </c>
      <c r="Z301" s="269" t="str">
        <f>IF(((AJ301=0)*(AH301&lt;&gt;"")*(AK301="-"))+((AJ301&lt;&gt;0)*(AH301&lt;&gt;"")*(AK301="-")),IF(AG301="X",Übersicht!$C$70,Übersicht!$C$69),"-")</f>
        <v>-</v>
      </c>
      <c r="AA301" s="252" t="str">
        <f>IF((($A301="")*($B301=""))+((MID($Y301,1,4)&lt;&gt;"Wahl")*(Deckblatt!$C$14='WK-Vorlagen'!$C$82))+(Deckblatt!$C$14&lt;&gt;'WK-Vorlagen'!$C$82),"",IF(ISERROR(MATCH(VALUE(MID(G301,1,2)),Schwierigkeitsstufen!$G$7:$G$19,0)),"Gerät falsch",LOOKUP(VALUE(MID(G301,1,2)),Schwierigkeitsstufen!$G$7:$G$19,Schwierigkeitsstufen!$H$7:$H$19)))</f>
        <v/>
      </c>
      <c r="AB301" s="250" t="str">
        <f>IF((($A301="")*($B301=""))+((MID($Y301,1,4)&lt;&gt;"Wahl")*(Deckblatt!$C$14='WK-Vorlagen'!$C$82))+(Deckblatt!$C$14&lt;&gt;'WK-Vorlagen'!$C$82),"",IF(ISERROR(MATCH(VALUE(MID(H301,1,2)),Schwierigkeitsstufen!$G$7:$G$19,0)),"Gerät falsch",LOOKUP(VALUE(MID(H301,1,2)),Schwierigkeitsstufen!$G$7:$G$19,Schwierigkeitsstufen!$H$7:$H$19)))</f>
        <v/>
      </c>
      <c r="AC301" s="250" t="str">
        <f>IF((($A301="")*($B301=""))+((MID($Y301,1,4)&lt;&gt;"Wahl")*(Deckblatt!$C$14='WK-Vorlagen'!$C$82))+(Deckblatt!$C$14&lt;&gt;'WK-Vorlagen'!$C$82),"",IF(ISERROR(MATCH(VALUE(MID(I301,1,2)),Schwierigkeitsstufen!$G$7:$G$19,0)),"Gerät falsch",LOOKUP(VALUE(MID(I301,1,2)),Schwierigkeitsstufen!$G$7:$G$19,Schwierigkeitsstufen!$H$7:$H$19)))</f>
        <v/>
      </c>
      <c r="AD301" s="251" t="str">
        <f>IF((($A301="")*($B301=""))+((MID($Y301,1,4)&lt;&gt;"Wahl")*(Deckblatt!$C$14='WK-Vorlagen'!$C$82))+(Deckblatt!$C$14&lt;&gt;'WK-Vorlagen'!$C$82),"",IF(ISERROR(MATCH(VALUE(MID(J301,1,2)),Schwierigkeitsstufen!$G$7:$G$19,0)),"Gerät falsch",LOOKUP(VALUE(MID(J301,1,2)),Schwierigkeitsstufen!$G$7:$G$19,Schwierigkeitsstufen!$H$7:$H$19)))</f>
        <v/>
      </c>
      <c r="AE301" s="211"/>
      <c r="AG301" s="221" t="str">
        <f t="shared" si="36"/>
        <v/>
      </c>
      <c r="AH301" s="222" t="str">
        <f t="shared" si="38"/>
        <v/>
      </c>
      <c r="AI301" s="220">
        <f t="shared" si="43"/>
        <v>4</v>
      </c>
      <c r="AJ301" s="222">
        <f t="shared" si="39"/>
        <v>0</v>
      </c>
      <c r="AK301" s="299" t="str">
        <f>IF(ISERROR(LOOKUP(E301,WKNrListe,Übersicht!$R$7:$R$46)),"-",LOOKUP(E301,WKNrListe,Übersicht!$R$7:$R$46))</f>
        <v>-</v>
      </c>
      <c r="AL301" s="299" t="str">
        <f t="shared" si="42"/>
        <v>-</v>
      </c>
      <c r="AM301" s="303"/>
      <c r="AN301" s="174" t="str">
        <f t="shared" si="35"/>
        <v>Leer</v>
      </c>
    </row>
    <row r="302" spans="1:40" s="174" customFormat="1" ht="15" customHeight="1">
      <c r="A302" s="63"/>
      <c r="B302" s="63"/>
      <c r="C302" s="84"/>
      <c r="D302" s="85"/>
      <c r="E302" s="62"/>
      <c r="F302" s="62"/>
      <c r="G302" s="62"/>
      <c r="H302" s="62"/>
      <c r="I302" s="62"/>
      <c r="J302" s="62"/>
      <c r="K302" s="62"/>
      <c r="L302" s="62"/>
      <c r="M302" s="62"/>
      <c r="N302" s="62"/>
      <c r="O302" s="62"/>
      <c r="P302" s="62"/>
      <c r="Q302" s="62"/>
      <c r="R302" s="62"/>
      <c r="S302" s="258"/>
      <c r="T302" s="248" t="str">
        <f t="shared" si="40"/>
        <v/>
      </c>
      <c r="U302" s="249" t="str">
        <f t="shared" si="41"/>
        <v/>
      </c>
      <c r="V302" s="294" t="str">
        <f t="shared" si="37"/>
        <v/>
      </c>
      <c r="W302" s="294" t="str">
        <f>IF(((E302="")+(F302="")),"",IF(VLOOKUP(F302,Mannschaften!$A$1:$B$54,2,FALSE)&lt;&gt;E302,"Reiter Mannschaften füllen",""))</f>
        <v/>
      </c>
      <c r="X302" s="248" t="str">
        <f>IF(ISBLANK(C302),"",IF((U302&gt;(LOOKUP(E302,WKNrListe,Übersicht!$O$7:$O$46)))+(U302&lt;(LOOKUP(E302,WKNrListe,Übersicht!$P$7:$P$46))),"JG falsch",""))</f>
        <v/>
      </c>
      <c r="Y302" s="255" t="str">
        <f>IF((A302="")*(B302=""),"",IF(ISERROR(MATCH(E302,WKNrListe,0)),"WK falsch",LOOKUP(E302,WKNrListe,Übersicht!$B$7:$B$46)))</f>
        <v/>
      </c>
      <c r="Z302" s="269" t="str">
        <f>IF(((AJ302=0)*(AH302&lt;&gt;"")*(AK302="-"))+((AJ302&lt;&gt;0)*(AH302&lt;&gt;"")*(AK302="-")),IF(AG302="X",Übersicht!$C$70,Übersicht!$C$69),"-")</f>
        <v>-</v>
      </c>
      <c r="AA302" s="252" t="str">
        <f>IF((($A302="")*($B302=""))+((MID($Y302,1,4)&lt;&gt;"Wahl")*(Deckblatt!$C$14='WK-Vorlagen'!$C$82))+(Deckblatt!$C$14&lt;&gt;'WK-Vorlagen'!$C$82),"",IF(ISERROR(MATCH(VALUE(MID(G302,1,2)),Schwierigkeitsstufen!$G$7:$G$19,0)),"Gerät falsch",LOOKUP(VALUE(MID(G302,1,2)),Schwierigkeitsstufen!$G$7:$G$19,Schwierigkeitsstufen!$H$7:$H$19)))</f>
        <v/>
      </c>
      <c r="AB302" s="250" t="str">
        <f>IF((($A302="")*($B302=""))+((MID($Y302,1,4)&lt;&gt;"Wahl")*(Deckblatt!$C$14='WK-Vorlagen'!$C$82))+(Deckblatt!$C$14&lt;&gt;'WK-Vorlagen'!$C$82),"",IF(ISERROR(MATCH(VALUE(MID(H302,1,2)),Schwierigkeitsstufen!$G$7:$G$19,0)),"Gerät falsch",LOOKUP(VALUE(MID(H302,1,2)),Schwierigkeitsstufen!$G$7:$G$19,Schwierigkeitsstufen!$H$7:$H$19)))</f>
        <v/>
      </c>
      <c r="AC302" s="250" t="str">
        <f>IF((($A302="")*($B302=""))+((MID($Y302,1,4)&lt;&gt;"Wahl")*(Deckblatt!$C$14='WK-Vorlagen'!$C$82))+(Deckblatt!$C$14&lt;&gt;'WK-Vorlagen'!$C$82),"",IF(ISERROR(MATCH(VALUE(MID(I302,1,2)),Schwierigkeitsstufen!$G$7:$G$19,0)),"Gerät falsch",LOOKUP(VALUE(MID(I302,1,2)),Schwierigkeitsstufen!$G$7:$G$19,Schwierigkeitsstufen!$H$7:$H$19)))</f>
        <v/>
      </c>
      <c r="AD302" s="251" t="str">
        <f>IF((($A302="")*($B302=""))+((MID($Y302,1,4)&lt;&gt;"Wahl")*(Deckblatt!$C$14='WK-Vorlagen'!$C$82))+(Deckblatt!$C$14&lt;&gt;'WK-Vorlagen'!$C$82),"",IF(ISERROR(MATCH(VALUE(MID(J302,1,2)),Schwierigkeitsstufen!$G$7:$G$19,0)),"Gerät falsch",LOOKUP(VALUE(MID(J302,1,2)),Schwierigkeitsstufen!$G$7:$G$19,Schwierigkeitsstufen!$H$7:$H$19)))</f>
        <v/>
      </c>
      <c r="AE302" s="211"/>
      <c r="AG302" s="221" t="str">
        <f t="shared" si="36"/>
        <v/>
      </c>
      <c r="AH302" s="222" t="str">
        <f t="shared" si="38"/>
        <v/>
      </c>
      <c r="AI302" s="220">
        <f t="shared" si="43"/>
        <v>4</v>
      </c>
      <c r="AJ302" s="222">
        <f t="shared" si="39"/>
        <v>0</v>
      </c>
      <c r="AK302" s="299" t="str">
        <f>IF(ISERROR(LOOKUP(E302,WKNrListe,Übersicht!$R$7:$R$46)),"-",LOOKUP(E302,WKNrListe,Übersicht!$R$7:$R$46))</f>
        <v>-</v>
      </c>
      <c r="AL302" s="299" t="str">
        <f t="shared" si="42"/>
        <v>-</v>
      </c>
      <c r="AM302" s="303"/>
      <c r="AN302" s="174" t="str">
        <f t="shared" si="35"/>
        <v>Leer</v>
      </c>
    </row>
    <row r="303" spans="1:40" s="174" customFormat="1" ht="15" customHeight="1">
      <c r="A303" s="63"/>
      <c r="B303" s="63"/>
      <c r="C303" s="84"/>
      <c r="D303" s="85"/>
      <c r="E303" s="62"/>
      <c r="F303" s="62"/>
      <c r="G303" s="62"/>
      <c r="H303" s="62"/>
      <c r="I303" s="62"/>
      <c r="J303" s="62"/>
      <c r="K303" s="62"/>
      <c r="L303" s="62"/>
      <c r="M303" s="62"/>
      <c r="N303" s="62"/>
      <c r="O303" s="62"/>
      <c r="P303" s="62"/>
      <c r="Q303" s="62"/>
      <c r="R303" s="62"/>
      <c r="S303" s="258"/>
      <c r="T303" s="248" t="str">
        <f t="shared" si="40"/>
        <v/>
      </c>
      <c r="U303" s="249" t="str">
        <f t="shared" si="41"/>
        <v/>
      </c>
      <c r="V303" s="294" t="str">
        <f t="shared" si="37"/>
        <v/>
      </c>
      <c r="W303" s="294" t="str">
        <f>IF(((E303="")+(F303="")),"",IF(VLOOKUP(F303,Mannschaften!$A$1:$B$54,2,FALSE)&lt;&gt;E303,"Reiter Mannschaften füllen",""))</f>
        <v/>
      </c>
      <c r="X303" s="248" t="str">
        <f>IF(ISBLANK(C303),"",IF((U303&gt;(LOOKUP(E303,WKNrListe,Übersicht!$O$7:$O$46)))+(U303&lt;(LOOKUP(E303,WKNrListe,Übersicht!$P$7:$P$46))),"JG falsch",""))</f>
        <v/>
      </c>
      <c r="Y303" s="255" t="str">
        <f>IF((A303="")*(B303=""),"",IF(ISERROR(MATCH(E303,WKNrListe,0)),"WK falsch",LOOKUP(E303,WKNrListe,Übersicht!$B$7:$B$46)))</f>
        <v/>
      </c>
      <c r="Z303" s="269" t="str">
        <f>IF(((AJ303=0)*(AH303&lt;&gt;"")*(AK303="-"))+((AJ303&lt;&gt;0)*(AH303&lt;&gt;"")*(AK303="-")),IF(AG303="X",Übersicht!$C$70,Übersicht!$C$69),"-")</f>
        <v>-</v>
      </c>
      <c r="AA303" s="252" t="str">
        <f>IF((($A303="")*($B303=""))+((MID($Y303,1,4)&lt;&gt;"Wahl")*(Deckblatt!$C$14='WK-Vorlagen'!$C$82))+(Deckblatt!$C$14&lt;&gt;'WK-Vorlagen'!$C$82),"",IF(ISERROR(MATCH(VALUE(MID(G303,1,2)),Schwierigkeitsstufen!$G$7:$G$19,0)),"Gerät falsch",LOOKUP(VALUE(MID(G303,1,2)),Schwierigkeitsstufen!$G$7:$G$19,Schwierigkeitsstufen!$H$7:$H$19)))</f>
        <v/>
      </c>
      <c r="AB303" s="250" t="str">
        <f>IF((($A303="")*($B303=""))+((MID($Y303,1,4)&lt;&gt;"Wahl")*(Deckblatt!$C$14='WK-Vorlagen'!$C$82))+(Deckblatt!$C$14&lt;&gt;'WK-Vorlagen'!$C$82),"",IF(ISERROR(MATCH(VALUE(MID(H303,1,2)),Schwierigkeitsstufen!$G$7:$G$19,0)),"Gerät falsch",LOOKUP(VALUE(MID(H303,1,2)),Schwierigkeitsstufen!$G$7:$G$19,Schwierigkeitsstufen!$H$7:$H$19)))</f>
        <v/>
      </c>
      <c r="AC303" s="250" t="str">
        <f>IF((($A303="")*($B303=""))+((MID($Y303,1,4)&lt;&gt;"Wahl")*(Deckblatt!$C$14='WK-Vorlagen'!$C$82))+(Deckblatt!$C$14&lt;&gt;'WK-Vorlagen'!$C$82),"",IF(ISERROR(MATCH(VALUE(MID(I303,1,2)),Schwierigkeitsstufen!$G$7:$G$19,0)),"Gerät falsch",LOOKUP(VALUE(MID(I303,1,2)),Schwierigkeitsstufen!$G$7:$G$19,Schwierigkeitsstufen!$H$7:$H$19)))</f>
        <v/>
      </c>
      <c r="AD303" s="251" t="str">
        <f>IF((($A303="")*($B303=""))+((MID($Y303,1,4)&lt;&gt;"Wahl")*(Deckblatt!$C$14='WK-Vorlagen'!$C$82))+(Deckblatt!$C$14&lt;&gt;'WK-Vorlagen'!$C$82),"",IF(ISERROR(MATCH(VALUE(MID(J303,1,2)),Schwierigkeitsstufen!$G$7:$G$19,0)),"Gerät falsch",LOOKUP(VALUE(MID(J303,1,2)),Schwierigkeitsstufen!$G$7:$G$19,Schwierigkeitsstufen!$H$7:$H$19)))</f>
        <v/>
      </c>
      <c r="AE303" s="211"/>
      <c r="AG303" s="221" t="str">
        <f t="shared" si="36"/>
        <v/>
      </c>
      <c r="AH303" s="222" t="str">
        <f t="shared" si="38"/>
        <v/>
      </c>
      <c r="AI303" s="220">
        <f t="shared" si="43"/>
        <v>4</v>
      </c>
      <c r="AJ303" s="222">
        <f t="shared" si="39"/>
        <v>0</v>
      </c>
      <c r="AK303" s="299" t="str">
        <f>IF(ISERROR(LOOKUP(E303,WKNrListe,Übersicht!$R$7:$R$46)),"-",LOOKUP(E303,WKNrListe,Übersicht!$R$7:$R$46))</f>
        <v>-</v>
      </c>
      <c r="AL303" s="299" t="str">
        <f t="shared" si="42"/>
        <v>-</v>
      </c>
      <c r="AM303" s="303"/>
      <c r="AN303" s="174" t="str">
        <f t="shared" ref="AN303:AN366" si="44">IF(ISBLANK(A303)*ISBLANK(B303)*ISBLANK(C303)*ISBLANK(E303)*ISBLANK(F303)*ISBLANK(G303)*ISBLANK(H303)*ISBLANK(I303)*ISBLANK(J303),"Leer","Voll")</f>
        <v>Leer</v>
      </c>
    </row>
    <row r="304" spans="1:40" s="174" customFormat="1" ht="15" customHeight="1">
      <c r="A304" s="63"/>
      <c r="B304" s="63"/>
      <c r="C304" s="84"/>
      <c r="D304" s="85"/>
      <c r="E304" s="62"/>
      <c r="F304" s="62"/>
      <c r="G304" s="62"/>
      <c r="H304" s="62"/>
      <c r="I304" s="62"/>
      <c r="J304" s="62"/>
      <c r="K304" s="62"/>
      <c r="L304" s="62"/>
      <c r="M304" s="62"/>
      <c r="N304" s="62"/>
      <c r="O304" s="62"/>
      <c r="P304" s="62"/>
      <c r="Q304" s="62"/>
      <c r="R304" s="62"/>
      <c r="S304" s="258"/>
      <c r="T304" s="248" t="str">
        <f t="shared" si="40"/>
        <v/>
      </c>
      <c r="U304" s="249" t="str">
        <f t="shared" si="41"/>
        <v/>
      </c>
      <c r="V304" s="294" t="str">
        <f t="shared" si="37"/>
        <v/>
      </c>
      <c r="W304" s="294" t="str">
        <f>IF(((E304="")+(F304="")),"",IF(VLOOKUP(F304,Mannschaften!$A$1:$B$54,2,FALSE)&lt;&gt;E304,"Reiter Mannschaften füllen",""))</f>
        <v/>
      </c>
      <c r="X304" s="248" t="str">
        <f>IF(ISBLANK(C304),"",IF((U304&gt;(LOOKUP(E304,WKNrListe,Übersicht!$O$7:$O$46)))+(U304&lt;(LOOKUP(E304,WKNrListe,Übersicht!$P$7:$P$46))),"JG falsch",""))</f>
        <v/>
      </c>
      <c r="Y304" s="255" t="str">
        <f>IF((A304="")*(B304=""),"",IF(ISERROR(MATCH(E304,WKNrListe,0)),"WK falsch",LOOKUP(E304,WKNrListe,Übersicht!$B$7:$B$46)))</f>
        <v/>
      </c>
      <c r="Z304" s="269" t="str">
        <f>IF(((AJ304=0)*(AH304&lt;&gt;"")*(AK304="-"))+((AJ304&lt;&gt;0)*(AH304&lt;&gt;"")*(AK304="-")),IF(AG304="X",Übersicht!$C$70,Übersicht!$C$69),"-")</f>
        <v>-</v>
      </c>
      <c r="AA304" s="252" t="str">
        <f>IF((($A304="")*($B304=""))+((MID($Y304,1,4)&lt;&gt;"Wahl")*(Deckblatt!$C$14='WK-Vorlagen'!$C$82))+(Deckblatt!$C$14&lt;&gt;'WK-Vorlagen'!$C$82),"",IF(ISERROR(MATCH(VALUE(MID(G304,1,2)),Schwierigkeitsstufen!$G$7:$G$19,0)),"Gerät falsch",LOOKUP(VALUE(MID(G304,1,2)),Schwierigkeitsstufen!$G$7:$G$19,Schwierigkeitsstufen!$H$7:$H$19)))</f>
        <v/>
      </c>
      <c r="AB304" s="250" t="str">
        <f>IF((($A304="")*($B304=""))+((MID($Y304,1,4)&lt;&gt;"Wahl")*(Deckblatt!$C$14='WK-Vorlagen'!$C$82))+(Deckblatt!$C$14&lt;&gt;'WK-Vorlagen'!$C$82),"",IF(ISERROR(MATCH(VALUE(MID(H304,1,2)),Schwierigkeitsstufen!$G$7:$G$19,0)),"Gerät falsch",LOOKUP(VALUE(MID(H304,1,2)),Schwierigkeitsstufen!$G$7:$G$19,Schwierigkeitsstufen!$H$7:$H$19)))</f>
        <v/>
      </c>
      <c r="AC304" s="250" t="str">
        <f>IF((($A304="")*($B304=""))+((MID($Y304,1,4)&lt;&gt;"Wahl")*(Deckblatt!$C$14='WK-Vorlagen'!$C$82))+(Deckblatt!$C$14&lt;&gt;'WK-Vorlagen'!$C$82),"",IF(ISERROR(MATCH(VALUE(MID(I304,1,2)),Schwierigkeitsstufen!$G$7:$G$19,0)),"Gerät falsch",LOOKUP(VALUE(MID(I304,1,2)),Schwierigkeitsstufen!$G$7:$G$19,Schwierigkeitsstufen!$H$7:$H$19)))</f>
        <v/>
      </c>
      <c r="AD304" s="251" t="str">
        <f>IF((($A304="")*($B304=""))+((MID($Y304,1,4)&lt;&gt;"Wahl")*(Deckblatt!$C$14='WK-Vorlagen'!$C$82))+(Deckblatt!$C$14&lt;&gt;'WK-Vorlagen'!$C$82),"",IF(ISERROR(MATCH(VALUE(MID(J304,1,2)),Schwierigkeitsstufen!$G$7:$G$19,0)),"Gerät falsch",LOOKUP(VALUE(MID(J304,1,2)),Schwierigkeitsstufen!$G$7:$G$19,Schwierigkeitsstufen!$H$7:$H$19)))</f>
        <v/>
      </c>
      <c r="AE304" s="211"/>
      <c r="AG304" s="221" t="str">
        <f t="shared" si="36"/>
        <v/>
      </c>
      <c r="AH304" s="222" t="str">
        <f t="shared" si="38"/>
        <v/>
      </c>
      <c r="AI304" s="220">
        <f t="shared" si="43"/>
        <v>4</v>
      </c>
      <c r="AJ304" s="222">
        <f t="shared" si="39"/>
        <v>0</v>
      </c>
      <c r="AK304" s="299" t="str">
        <f>IF(ISERROR(LOOKUP(E304,WKNrListe,Übersicht!$R$7:$R$46)),"-",LOOKUP(E304,WKNrListe,Übersicht!$R$7:$R$46))</f>
        <v>-</v>
      </c>
      <c r="AL304" s="299" t="str">
        <f t="shared" si="42"/>
        <v>-</v>
      </c>
      <c r="AM304" s="303"/>
      <c r="AN304" s="174" t="str">
        <f t="shared" si="44"/>
        <v>Leer</v>
      </c>
    </row>
    <row r="305" spans="1:40" s="174" customFormat="1" ht="15" customHeight="1">
      <c r="A305" s="63"/>
      <c r="B305" s="63"/>
      <c r="C305" s="84"/>
      <c r="D305" s="85"/>
      <c r="E305" s="62"/>
      <c r="F305" s="62"/>
      <c r="G305" s="62"/>
      <c r="H305" s="62"/>
      <c r="I305" s="62"/>
      <c r="J305" s="62"/>
      <c r="K305" s="62"/>
      <c r="L305" s="62"/>
      <c r="M305" s="62"/>
      <c r="N305" s="62"/>
      <c r="O305" s="62"/>
      <c r="P305" s="62"/>
      <c r="Q305" s="62"/>
      <c r="R305" s="62"/>
      <c r="S305" s="258"/>
      <c r="T305" s="248" t="str">
        <f t="shared" si="40"/>
        <v/>
      </c>
      <c r="U305" s="249" t="str">
        <f t="shared" si="41"/>
        <v/>
      </c>
      <c r="V305" s="294" t="str">
        <f t="shared" si="37"/>
        <v/>
      </c>
      <c r="W305" s="294" t="str">
        <f>IF(((E305="")+(F305="")),"",IF(VLOOKUP(F305,Mannschaften!$A$1:$B$54,2,FALSE)&lt;&gt;E305,"Reiter Mannschaften füllen",""))</f>
        <v/>
      </c>
      <c r="X305" s="248" t="str">
        <f>IF(ISBLANK(C305),"",IF((U305&gt;(LOOKUP(E305,WKNrListe,Übersicht!$O$7:$O$46)))+(U305&lt;(LOOKUP(E305,WKNrListe,Übersicht!$P$7:$P$46))),"JG falsch",""))</f>
        <v/>
      </c>
      <c r="Y305" s="255" t="str">
        <f>IF((A305="")*(B305=""),"",IF(ISERROR(MATCH(E305,WKNrListe,0)),"WK falsch",LOOKUP(E305,WKNrListe,Übersicht!$B$7:$B$46)))</f>
        <v/>
      </c>
      <c r="Z305" s="269" t="str">
        <f>IF(((AJ305=0)*(AH305&lt;&gt;"")*(AK305="-"))+((AJ305&lt;&gt;0)*(AH305&lt;&gt;"")*(AK305="-")),IF(AG305="X",Übersicht!$C$70,Übersicht!$C$69),"-")</f>
        <v>-</v>
      </c>
      <c r="AA305" s="252" t="str">
        <f>IF((($A305="")*($B305=""))+((MID($Y305,1,4)&lt;&gt;"Wahl")*(Deckblatt!$C$14='WK-Vorlagen'!$C$82))+(Deckblatt!$C$14&lt;&gt;'WK-Vorlagen'!$C$82),"",IF(ISERROR(MATCH(VALUE(MID(G305,1,2)),Schwierigkeitsstufen!$G$7:$G$19,0)),"Gerät falsch",LOOKUP(VALUE(MID(G305,1,2)),Schwierigkeitsstufen!$G$7:$G$19,Schwierigkeitsstufen!$H$7:$H$19)))</f>
        <v/>
      </c>
      <c r="AB305" s="250" t="str">
        <f>IF((($A305="")*($B305=""))+((MID($Y305,1,4)&lt;&gt;"Wahl")*(Deckblatt!$C$14='WK-Vorlagen'!$C$82))+(Deckblatt!$C$14&lt;&gt;'WK-Vorlagen'!$C$82),"",IF(ISERROR(MATCH(VALUE(MID(H305,1,2)),Schwierigkeitsstufen!$G$7:$G$19,0)),"Gerät falsch",LOOKUP(VALUE(MID(H305,1,2)),Schwierigkeitsstufen!$G$7:$G$19,Schwierigkeitsstufen!$H$7:$H$19)))</f>
        <v/>
      </c>
      <c r="AC305" s="250" t="str">
        <f>IF((($A305="")*($B305=""))+((MID($Y305,1,4)&lt;&gt;"Wahl")*(Deckblatt!$C$14='WK-Vorlagen'!$C$82))+(Deckblatt!$C$14&lt;&gt;'WK-Vorlagen'!$C$82),"",IF(ISERROR(MATCH(VALUE(MID(I305,1,2)),Schwierigkeitsstufen!$G$7:$G$19,0)),"Gerät falsch",LOOKUP(VALUE(MID(I305,1,2)),Schwierigkeitsstufen!$G$7:$G$19,Schwierigkeitsstufen!$H$7:$H$19)))</f>
        <v/>
      </c>
      <c r="AD305" s="251" t="str">
        <f>IF((($A305="")*($B305=""))+((MID($Y305,1,4)&lt;&gt;"Wahl")*(Deckblatt!$C$14='WK-Vorlagen'!$C$82))+(Deckblatt!$C$14&lt;&gt;'WK-Vorlagen'!$C$82),"",IF(ISERROR(MATCH(VALUE(MID(J305,1,2)),Schwierigkeitsstufen!$G$7:$G$19,0)),"Gerät falsch",LOOKUP(VALUE(MID(J305,1,2)),Schwierigkeitsstufen!$G$7:$G$19,Schwierigkeitsstufen!$H$7:$H$19)))</f>
        <v/>
      </c>
      <c r="AE305" s="211"/>
      <c r="AG305" s="221" t="str">
        <f t="shared" si="36"/>
        <v/>
      </c>
      <c r="AH305" s="222" t="str">
        <f t="shared" si="38"/>
        <v/>
      </c>
      <c r="AI305" s="220">
        <f t="shared" si="43"/>
        <v>4</v>
      </c>
      <c r="AJ305" s="222">
        <f t="shared" si="39"/>
        <v>0</v>
      </c>
      <c r="AK305" s="299" t="str">
        <f>IF(ISERROR(LOOKUP(E305,WKNrListe,Übersicht!$R$7:$R$46)),"-",LOOKUP(E305,WKNrListe,Übersicht!$R$7:$R$46))</f>
        <v>-</v>
      </c>
      <c r="AL305" s="299" t="str">
        <f t="shared" si="42"/>
        <v>-</v>
      </c>
      <c r="AM305" s="303"/>
      <c r="AN305" s="174" t="str">
        <f t="shared" si="44"/>
        <v>Leer</v>
      </c>
    </row>
    <row r="306" spans="1:40" s="174" customFormat="1" ht="15" customHeight="1">
      <c r="A306" s="63"/>
      <c r="B306" s="63"/>
      <c r="C306" s="84"/>
      <c r="D306" s="85"/>
      <c r="E306" s="62"/>
      <c r="F306" s="62"/>
      <c r="G306" s="62"/>
      <c r="H306" s="62"/>
      <c r="I306" s="62"/>
      <c r="J306" s="62"/>
      <c r="K306" s="62"/>
      <c r="L306" s="62"/>
      <c r="M306" s="62"/>
      <c r="N306" s="62"/>
      <c r="O306" s="62"/>
      <c r="P306" s="62"/>
      <c r="Q306" s="62"/>
      <c r="R306" s="62"/>
      <c r="S306" s="258"/>
      <c r="T306" s="248" t="str">
        <f t="shared" si="40"/>
        <v/>
      </c>
      <c r="U306" s="249" t="str">
        <f t="shared" si="41"/>
        <v/>
      </c>
      <c r="V306" s="294" t="str">
        <f t="shared" si="37"/>
        <v/>
      </c>
      <c r="W306" s="294" t="str">
        <f>IF(((E306="")+(F306="")),"",IF(VLOOKUP(F306,Mannschaften!$A$1:$B$54,2,FALSE)&lt;&gt;E306,"Reiter Mannschaften füllen",""))</f>
        <v/>
      </c>
      <c r="X306" s="248" t="str">
        <f>IF(ISBLANK(C306),"",IF((U306&gt;(LOOKUP(E306,WKNrListe,Übersicht!$O$7:$O$46)))+(U306&lt;(LOOKUP(E306,WKNrListe,Übersicht!$P$7:$P$46))),"JG falsch",""))</f>
        <v/>
      </c>
      <c r="Y306" s="255" t="str">
        <f>IF((A306="")*(B306=""),"",IF(ISERROR(MATCH(E306,WKNrListe,0)),"WK falsch",LOOKUP(E306,WKNrListe,Übersicht!$B$7:$B$46)))</f>
        <v/>
      </c>
      <c r="Z306" s="269" t="str">
        <f>IF(((AJ306=0)*(AH306&lt;&gt;"")*(AK306="-"))+((AJ306&lt;&gt;0)*(AH306&lt;&gt;"")*(AK306="-")),IF(AG306="X",Übersicht!$C$70,Übersicht!$C$69),"-")</f>
        <v>-</v>
      </c>
      <c r="AA306" s="252" t="str">
        <f>IF((($A306="")*($B306=""))+((MID($Y306,1,4)&lt;&gt;"Wahl")*(Deckblatt!$C$14='WK-Vorlagen'!$C$82))+(Deckblatt!$C$14&lt;&gt;'WK-Vorlagen'!$C$82),"",IF(ISERROR(MATCH(VALUE(MID(G306,1,2)),Schwierigkeitsstufen!$G$7:$G$19,0)),"Gerät falsch",LOOKUP(VALUE(MID(G306,1,2)),Schwierigkeitsstufen!$G$7:$G$19,Schwierigkeitsstufen!$H$7:$H$19)))</f>
        <v/>
      </c>
      <c r="AB306" s="250" t="str">
        <f>IF((($A306="")*($B306=""))+((MID($Y306,1,4)&lt;&gt;"Wahl")*(Deckblatt!$C$14='WK-Vorlagen'!$C$82))+(Deckblatt!$C$14&lt;&gt;'WK-Vorlagen'!$C$82),"",IF(ISERROR(MATCH(VALUE(MID(H306,1,2)),Schwierigkeitsstufen!$G$7:$G$19,0)),"Gerät falsch",LOOKUP(VALUE(MID(H306,1,2)),Schwierigkeitsstufen!$G$7:$G$19,Schwierigkeitsstufen!$H$7:$H$19)))</f>
        <v/>
      </c>
      <c r="AC306" s="250" t="str">
        <f>IF((($A306="")*($B306=""))+((MID($Y306,1,4)&lt;&gt;"Wahl")*(Deckblatt!$C$14='WK-Vorlagen'!$C$82))+(Deckblatt!$C$14&lt;&gt;'WK-Vorlagen'!$C$82),"",IF(ISERROR(MATCH(VALUE(MID(I306,1,2)),Schwierigkeitsstufen!$G$7:$G$19,0)),"Gerät falsch",LOOKUP(VALUE(MID(I306,1,2)),Schwierigkeitsstufen!$G$7:$G$19,Schwierigkeitsstufen!$H$7:$H$19)))</f>
        <v/>
      </c>
      <c r="AD306" s="251" t="str">
        <f>IF((($A306="")*($B306=""))+((MID($Y306,1,4)&lt;&gt;"Wahl")*(Deckblatt!$C$14='WK-Vorlagen'!$C$82))+(Deckblatt!$C$14&lt;&gt;'WK-Vorlagen'!$C$82),"",IF(ISERROR(MATCH(VALUE(MID(J306,1,2)),Schwierigkeitsstufen!$G$7:$G$19,0)),"Gerät falsch",LOOKUP(VALUE(MID(J306,1,2)),Schwierigkeitsstufen!$G$7:$G$19,Schwierigkeitsstufen!$H$7:$H$19)))</f>
        <v/>
      </c>
      <c r="AE306" s="211"/>
      <c r="AG306" s="221" t="str">
        <f t="shared" si="36"/>
        <v/>
      </c>
      <c r="AH306" s="222" t="str">
        <f t="shared" si="38"/>
        <v/>
      </c>
      <c r="AI306" s="220">
        <f t="shared" si="43"/>
        <v>4</v>
      </c>
      <c r="AJ306" s="222">
        <f t="shared" si="39"/>
        <v>0</v>
      </c>
      <c r="AK306" s="299" t="str">
        <f>IF(ISERROR(LOOKUP(E306,WKNrListe,Übersicht!$R$7:$R$46)),"-",LOOKUP(E306,WKNrListe,Übersicht!$R$7:$R$46))</f>
        <v>-</v>
      </c>
      <c r="AL306" s="299" t="str">
        <f t="shared" si="42"/>
        <v>-</v>
      </c>
      <c r="AM306" s="303"/>
      <c r="AN306" s="174" t="str">
        <f t="shared" si="44"/>
        <v>Leer</v>
      </c>
    </row>
    <row r="307" spans="1:40" s="174" customFormat="1" ht="15" customHeight="1">
      <c r="A307" s="63"/>
      <c r="B307" s="63"/>
      <c r="C307" s="84"/>
      <c r="D307" s="85"/>
      <c r="E307" s="62"/>
      <c r="F307" s="62"/>
      <c r="G307" s="62"/>
      <c r="H307" s="62"/>
      <c r="I307" s="62"/>
      <c r="J307" s="62"/>
      <c r="K307" s="62"/>
      <c r="L307" s="62"/>
      <c r="M307" s="62"/>
      <c r="N307" s="62"/>
      <c r="O307" s="62"/>
      <c r="P307" s="62"/>
      <c r="Q307" s="62"/>
      <c r="R307" s="62"/>
      <c r="S307" s="258"/>
      <c r="T307" s="248" t="str">
        <f t="shared" si="40"/>
        <v/>
      </c>
      <c r="U307" s="249" t="str">
        <f t="shared" si="41"/>
        <v/>
      </c>
      <c r="V307" s="294" t="str">
        <f t="shared" si="37"/>
        <v/>
      </c>
      <c r="W307" s="294" t="str">
        <f>IF(((E307="")+(F307="")),"",IF(VLOOKUP(F307,Mannschaften!$A$1:$B$54,2,FALSE)&lt;&gt;E307,"Reiter Mannschaften füllen",""))</f>
        <v/>
      </c>
      <c r="X307" s="248" t="str">
        <f>IF(ISBLANK(C307),"",IF((U307&gt;(LOOKUP(E307,WKNrListe,Übersicht!$O$7:$O$46)))+(U307&lt;(LOOKUP(E307,WKNrListe,Übersicht!$P$7:$P$46))),"JG falsch",""))</f>
        <v/>
      </c>
      <c r="Y307" s="255" t="str">
        <f>IF((A307="")*(B307=""),"",IF(ISERROR(MATCH(E307,WKNrListe,0)),"WK falsch",LOOKUP(E307,WKNrListe,Übersicht!$B$7:$B$46)))</f>
        <v/>
      </c>
      <c r="Z307" s="269" t="str">
        <f>IF(((AJ307=0)*(AH307&lt;&gt;"")*(AK307="-"))+((AJ307&lt;&gt;0)*(AH307&lt;&gt;"")*(AK307="-")),IF(AG307="X",Übersicht!$C$70,Übersicht!$C$69),"-")</f>
        <v>-</v>
      </c>
      <c r="AA307" s="252" t="str">
        <f>IF((($A307="")*($B307=""))+((MID($Y307,1,4)&lt;&gt;"Wahl")*(Deckblatt!$C$14='WK-Vorlagen'!$C$82))+(Deckblatt!$C$14&lt;&gt;'WK-Vorlagen'!$C$82),"",IF(ISERROR(MATCH(VALUE(MID(G307,1,2)),Schwierigkeitsstufen!$G$7:$G$19,0)),"Gerät falsch",LOOKUP(VALUE(MID(G307,1,2)),Schwierigkeitsstufen!$G$7:$G$19,Schwierigkeitsstufen!$H$7:$H$19)))</f>
        <v/>
      </c>
      <c r="AB307" s="250" t="str">
        <f>IF((($A307="")*($B307=""))+((MID($Y307,1,4)&lt;&gt;"Wahl")*(Deckblatt!$C$14='WK-Vorlagen'!$C$82))+(Deckblatt!$C$14&lt;&gt;'WK-Vorlagen'!$C$82),"",IF(ISERROR(MATCH(VALUE(MID(H307,1,2)),Schwierigkeitsstufen!$G$7:$G$19,0)),"Gerät falsch",LOOKUP(VALUE(MID(H307,1,2)),Schwierigkeitsstufen!$G$7:$G$19,Schwierigkeitsstufen!$H$7:$H$19)))</f>
        <v/>
      </c>
      <c r="AC307" s="250" t="str">
        <f>IF((($A307="")*($B307=""))+((MID($Y307,1,4)&lt;&gt;"Wahl")*(Deckblatt!$C$14='WK-Vorlagen'!$C$82))+(Deckblatt!$C$14&lt;&gt;'WK-Vorlagen'!$C$82),"",IF(ISERROR(MATCH(VALUE(MID(I307,1,2)),Schwierigkeitsstufen!$G$7:$G$19,0)),"Gerät falsch",LOOKUP(VALUE(MID(I307,1,2)),Schwierigkeitsstufen!$G$7:$G$19,Schwierigkeitsstufen!$H$7:$H$19)))</f>
        <v/>
      </c>
      <c r="AD307" s="251" t="str">
        <f>IF((($A307="")*($B307=""))+((MID($Y307,1,4)&lt;&gt;"Wahl")*(Deckblatt!$C$14='WK-Vorlagen'!$C$82))+(Deckblatt!$C$14&lt;&gt;'WK-Vorlagen'!$C$82),"",IF(ISERROR(MATCH(VALUE(MID(J307,1,2)),Schwierigkeitsstufen!$G$7:$G$19,0)),"Gerät falsch",LOOKUP(VALUE(MID(J307,1,2)),Schwierigkeitsstufen!$G$7:$G$19,Schwierigkeitsstufen!$H$7:$H$19)))</f>
        <v/>
      </c>
      <c r="AE307" s="211"/>
      <c r="AG307" s="221" t="str">
        <f t="shared" si="36"/>
        <v/>
      </c>
      <c r="AH307" s="222" t="str">
        <f t="shared" si="38"/>
        <v/>
      </c>
      <c r="AI307" s="220">
        <f t="shared" si="43"/>
        <v>4</v>
      </c>
      <c r="AJ307" s="222">
        <f t="shared" si="39"/>
        <v>0</v>
      </c>
      <c r="AK307" s="299" t="str">
        <f>IF(ISERROR(LOOKUP(E307,WKNrListe,Übersicht!$R$7:$R$46)),"-",LOOKUP(E307,WKNrListe,Übersicht!$R$7:$R$46))</f>
        <v>-</v>
      </c>
      <c r="AL307" s="299" t="str">
        <f t="shared" si="42"/>
        <v>-</v>
      </c>
      <c r="AM307" s="303"/>
      <c r="AN307" s="174" t="str">
        <f t="shared" si="44"/>
        <v>Leer</v>
      </c>
    </row>
    <row r="308" spans="1:40" s="174" customFormat="1" ht="15" customHeight="1">
      <c r="A308" s="63"/>
      <c r="B308" s="63"/>
      <c r="C308" s="84"/>
      <c r="D308" s="85"/>
      <c r="E308" s="62"/>
      <c r="F308" s="62"/>
      <c r="G308" s="62"/>
      <c r="H308" s="62"/>
      <c r="I308" s="62"/>
      <c r="J308" s="62"/>
      <c r="K308" s="62"/>
      <c r="L308" s="62"/>
      <c r="M308" s="62"/>
      <c r="N308" s="62"/>
      <c r="O308" s="62"/>
      <c r="P308" s="62"/>
      <c r="Q308" s="62"/>
      <c r="R308" s="62"/>
      <c r="S308" s="258"/>
      <c r="T308" s="248" t="str">
        <f t="shared" si="40"/>
        <v/>
      </c>
      <c r="U308" s="249" t="str">
        <f t="shared" si="41"/>
        <v/>
      </c>
      <c r="V308" s="294" t="str">
        <f t="shared" si="37"/>
        <v/>
      </c>
      <c r="W308" s="294" t="str">
        <f>IF(((E308="")+(F308="")),"",IF(VLOOKUP(F308,Mannschaften!$A$1:$B$54,2,FALSE)&lt;&gt;E308,"Reiter Mannschaften füllen",""))</f>
        <v/>
      </c>
      <c r="X308" s="248" t="str">
        <f>IF(ISBLANK(C308),"",IF((U308&gt;(LOOKUP(E308,WKNrListe,Übersicht!$O$7:$O$46)))+(U308&lt;(LOOKUP(E308,WKNrListe,Übersicht!$P$7:$P$46))),"JG falsch",""))</f>
        <v/>
      </c>
      <c r="Y308" s="255" t="str">
        <f>IF((A308="")*(B308=""),"",IF(ISERROR(MATCH(E308,WKNrListe,0)),"WK falsch",LOOKUP(E308,WKNrListe,Übersicht!$B$7:$B$46)))</f>
        <v/>
      </c>
      <c r="Z308" s="269" t="str">
        <f>IF(((AJ308=0)*(AH308&lt;&gt;"")*(AK308="-"))+((AJ308&lt;&gt;0)*(AH308&lt;&gt;"")*(AK308="-")),IF(AG308="X",Übersicht!$C$70,Übersicht!$C$69),"-")</f>
        <v>-</v>
      </c>
      <c r="AA308" s="252" t="str">
        <f>IF((($A308="")*($B308=""))+((MID($Y308,1,4)&lt;&gt;"Wahl")*(Deckblatt!$C$14='WK-Vorlagen'!$C$82))+(Deckblatt!$C$14&lt;&gt;'WK-Vorlagen'!$C$82),"",IF(ISERROR(MATCH(VALUE(MID(G308,1,2)),Schwierigkeitsstufen!$G$7:$G$19,0)),"Gerät falsch",LOOKUP(VALUE(MID(G308,1,2)),Schwierigkeitsstufen!$G$7:$G$19,Schwierigkeitsstufen!$H$7:$H$19)))</f>
        <v/>
      </c>
      <c r="AB308" s="250" t="str">
        <f>IF((($A308="")*($B308=""))+((MID($Y308,1,4)&lt;&gt;"Wahl")*(Deckblatt!$C$14='WK-Vorlagen'!$C$82))+(Deckblatt!$C$14&lt;&gt;'WK-Vorlagen'!$C$82),"",IF(ISERROR(MATCH(VALUE(MID(H308,1,2)),Schwierigkeitsstufen!$G$7:$G$19,0)),"Gerät falsch",LOOKUP(VALUE(MID(H308,1,2)),Schwierigkeitsstufen!$G$7:$G$19,Schwierigkeitsstufen!$H$7:$H$19)))</f>
        <v/>
      </c>
      <c r="AC308" s="250" t="str">
        <f>IF((($A308="")*($B308=""))+((MID($Y308,1,4)&lt;&gt;"Wahl")*(Deckblatt!$C$14='WK-Vorlagen'!$C$82))+(Deckblatt!$C$14&lt;&gt;'WK-Vorlagen'!$C$82),"",IF(ISERROR(MATCH(VALUE(MID(I308,1,2)),Schwierigkeitsstufen!$G$7:$G$19,0)),"Gerät falsch",LOOKUP(VALUE(MID(I308,1,2)),Schwierigkeitsstufen!$G$7:$G$19,Schwierigkeitsstufen!$H$7:$H$19)))</f>
        <v/>
      </c>
      <c r="AD308" s="251" t="str">
        <f>IF((($A308="")*($B308=""))+((MID($Y308,1,4)&lt;&gt;"Wahl")*(Deckblatt!$C$14='WK-Vorlagen'!$C$82))+(Deckblatt!$C$14&lt;&gt;'WK-Vorlagen'!$C$82),"",IF(ISERROR(MATCH(VALUE(MID(J308,1,2)),Schwierigkeitsstufen!$G$7:$G$19,0)),"Gerät falsch",LOOKUP(VALUE(MID(J308,1,2)),Schwierigkeitsstufen!$G$7:$G$19,Schwierigkeitsstufen!$H$7:$H$19)))</f>
        <v/>
      </c>
      <c r="AE308" s="211"/>
      <c r="AG308" s="221" t="str">
        <f t="shared" si="36"/>
        <v/>
      </c>
      <c r="AH308" s="222" t="str">
        <f t="shared" si="38"/>
        <v/>
      </c>
      <c r="AI308" s="220">
        <f t="shared" si="43"/>
        <v>4</v>
      </c>
      <c r="AJ308" s="222">
        <f t="shared" si="39"/>
        <v>0</v>
      </c>
      <c r="AK308" s="299" t="str">
        <f>IF(ISERROR(LOOKUP(E308,WKNrListe,Übersicht!$R$7:$R$46)),"-",LOOKUP(E308,WKNrListe,Übersicht!$R$7:$R$46))</f>
        <v>-</v>
      </c>
      <c r="AL308" s="299" t="str">
        <f t="shared" si="42"/>
        <v>-</v>
      </c>
      <c r="AM308" s="303"/>
      <c r="AN308" s="174" t="str">
        <f t="shared" si="44"/>
        <v>Leer</v>
      </c>
    </row>
    <row r="309" spans="1:40" s="174" customFormat="1" ht="15" customHeight="1">
      <c r="A309" s="63"/>
      <c r="B309" s="63"/>
      <c r="C309" s="84"/>
      <c r="D309" s="85"/>
      <c r="E309" s="62"/>
      <c r="F309" s="62"/>
      <c r="G309" s="62"/>
      <c r="H309" s="62"/>
      <c r="I309" s="62"/>
      <c r="J309" s="62"/>
      <c r="K309" s="62"/>
      <c r="L309" s="62"/>
      <c r="M309" s="62"/>
      <c r="N309" s="62"/>
      <c r="O309" s="62"/>
      <c r="P309" s="62"/>
      <c r="Q309" s="62"/>
      <c r="R309" s="62"/>
      <c r="S309" s="258"/>
      <c r="T309" s="248" t="str">
        <f t="shared" si="40"/>
        <v/>
      </c>
      <c r="U309" s="249" t="str">
        <f t="shared" si="41"/>
        <v/>
      </c>
      <c r="V309" s="294" t="str">
        <f t="shared" si="37"/>
        <v/>
      </c>
      <c r="W309" s="294" t="str">
        <f>IF(((E309="")+(F309="")),"",IF(VLOOKUP(F309,Mannschaften!$A$1:$B$54,2,FALSE)&lt;&gt;E309,"Reiter Mannschaften füllen",""))</f>
        <v/>
      </c>
      <c r="X309" s="248" t="str">
        <f>IF(ISBLANK(C309),"",IF((U309&gt;(LOOKUP(E309,WKNrListe,Übersicht!$O$7:$O$46)))+(U309&lt;(LOOKUP(E309,WKNrListe,Übersicht!$P$7:$P$46))),"JG falsch",""))</f>
        <v/>
      </c>
      <c r="Y309" s="255" t="str">
        <f>IF((A309="")*(B309=""),"",IF(ISERROR(MATCH(E309,WKNrListe,0)),"WK falsch",LOOKUP(E309,WKNrListe,Übersicht!$B$7:$B$46)))</f>
        <v/>
      </c>
      <c r="Z309" s="269" t="str">
        <f>IF(((AJ309=0)*(AH309&lt;&gt;"")*(AK309="-"))+((AJ309&lt;&gt;0)*(AH309&lt;&gt;"")*(AK309="-")),IF(AG309="X",Übersicht!$C$70,Übersicht!$C$69),"-")</f>
        <v>-</v>
      </c>
      <c r="AA309" s="252" t="str">
        <f>IF((($A309="")*($B309=""))+((MID($Y309,1,4)&lt;&gt;"Wahl")*(Deckblatt!$C$14='WK-Vorlagen'!$C$82))+(Deckblatt!$C$14&lt;&gt;'WK-Vorlagen'!$C$82),"",IF(ISERROR(MATCH(VALUE(MID(G309,1,2)),Schwierigkeitsstufen!$G$7:$G$19,0)),"Gerät falsch",LOOKUP(VALUE(MID(G309,1,2)),Schwierigkeitsstufen!$G$7:$G$19,Schwierigkeitsstufen!$H$7:$H$19)))</f>
        <v/>
      </c>
      <c r="AB309" s="250" t="str">
        <f>IF((($A309="")*($B309=""))+((MID($Y309,1,4)&lt;&gt;"Wahl")*(Deckblatt!$C$14='WK-Vorlagen'!$C$82))+(Deckblatt!$C$14&lt;&gt;'WK-Vorlagen'!$C$82),"",IF(ISERROR(MATCH(VALUE(MID(H309,1,2)),Schwierigkeitsstufen!$G$7:$G$19,0)),"Gerät falsch",LOOKUP(VALUE(MID(H309,1,2)),Schwierigkeitsstufen!$G$7:$G$19,Schwierigkeitsstufen!$H$7:$H$19)))</f>
        <v/>
      </c>
      <c r="AC309" s="250" t="str">
        <f>IF((($A309="")*($B309=""))+((MID($Y309,1,4)&lt;&gt;"Wahl")*(Deckblatt!$C$14='WK-Vorlagen'!$C$82))+(Deckblatt!$C$14&lt;&gt;'WK-Vorlagen'!$C$82),"",IF(ISERROR(MATCH(VALUE(MID(I309,1,2)),Schwierigkeitsstufen!$G$7:$G$19,0)),"Gerät falsch",LOOKUP(VALUE(MID(I309,1,2)),Schwierigkeitsstufen!$G$7:$G$19,Schwierigkeitsstufen!$H$7:$H$19)))</f>
        <v/>
      </c>
      <c r="AD309" s="251" t="str">
        <f>IF((($A309="")*($B309=""))+((MID($Y309,1,4)&lt;&gt;"Wahl")*(Deckblatt!$C$14='WK-Vorlagen'!$C$82))+(Deckblatt!$C$14&lt;&gt;'WK-Vorlagen'!$C$82),"",IF(ISERROR(MATCH(VALUE(MID(J309,1,2)),Schwierigkeitsstufen!$G$7:$G$19,0)),"Gerät falsch",LOOKUP(VALUE(MID(J309,1,2)),Schwierigkeitsstufen!$G$7:$G$19,Schwierigkeitsstufen!$H$7:$H$19)))</f>
        <v/>
      </c>
      <c r="AE309" s="211"/>
      <c r="AG309" s="221" t="str">
        <f t="shared" si="36"/>
        <v/>
      </c>
      <c r="AH309" s="222" t="str">
        <f t="shared" si="38"/>
        <v/>
      </c>
      <c r="AI309" s="220">
        <f t="shared" si="43"/>
        <v>4</v>
      </c>
      <c r="AJ309" s="222">
        <f t="shared" si="39"/>
        <v>0</v>
      </c>
      <c r="AK309" s="299" t="str">
        <f>IF(ISERROR(LOOKUP(E309,WKNrListe,Übersicht!$R$7:$R$46)),"-",LOOKUP(E309,WKNrListe,Übersicht!$R$7:$R$46))</f>
        <v>-</v>
      </c>
      <c r="AL309" s="299" t="str">
        <f t="shared" si="42"/>
        <v>-</v>
      </c>
      <c r="AM309" s="303"/>
      <c r="AN309" s="174" t="str">
        <f t="shared" si="44"/>
        <v>Leer</v>
      </c>
    </row>
    <row r="310" spans="1:40" s="174" customFormat="1" ht="15" customHeight="1">
      <c r="A310" s="63"/>
      <c r="B310" s="63"/>
      <c r="C310" s="84"/>
      <c r="D310" s="85"/>
      <c r="E310" s="62"/>
      <c r="F310" s="62"/>
      <c r="G310" s="62"/>
      <c r="H310" s="62"/>
      <c r="I310" s="62"/>
      <c r="J310" s="62"/>
      <c r="K310" s="62"/>
      <c r="L310" s="62"/>
      <c r="M310" s="62"/>
      <c r="N310" s="62"/>
      <c r="O310" s="62"/>
      <c r="P310" s="62"/>
      <c r="Q310" s="62"/>
      <c r="R310" s="62"/>
      <c r="S310" s="258"/>
      <c r="T310" s="248" t="str">
        <f t="shared" si="40"/>
        <v/>
      </c>
      <c r="U310" s="249" t="str">
        <f t="shared" si="41"/>
        <v/>
      </c>
      <c r="V310" s="294" t="str">
        <f t="shared" si="37"/>
        <v/>
      </c>
      <c r="W310" s="294" t="str">
        <f>IF(((E310="")+(F310="")),"",IF(VLOOKUP(F310,Mannschaften!$A$1:$B$54,2,FALSE)&lt;&gt;E310,"Reiter Mannschaften füllen",""))</f>
        <v/>
      </c>
      <c r="X310" s="248" t="str">
        <f>IF(ISBLANK(C310),"",IF((U310&gt;(LOOKUP(E310,WKNrListe,Übersicht!$O$7:$O$46)))+(U310&lt;(LOOKUP(E310,WKNrListe,Übersicht!$P$7:$P$46))),"JG falsch",""))</f>
        <v/>
      </c>
      <c r="Y310" s="255" t="str">
        <f>IF((A310="")*(B310=""),"",IF(ISERROR(MATCH(E310,WKNrListe,0)),"WK falsch",LOOKUP(E310,WKNrListe,Übersicht!$B$7:$B$46)))</f>
        <v/>
      </c>
      <c r="Z310" s="269" t="str">
        <f>IF(((AJ310=0)*(AH310&lt;&gt;"")*(AK310="-"))+((AJ310&lt;&gt;0)*(AH310&lt;&gt;"")*(AK310="-")),IF(AG310="X",Übersicht!$C$70,Übersicht!$C$69),"-")</f>
        <v>-</v>
      </c>
      <c r="AA310" s="252" t="str">
        <f>IF((($A310="")*($B310=""))+((MID($Y310,1,4)&lt;&gt;"Wahl")*(Deckblatt!$C$14='WK-Vorlagen'!$C$82))+(Deckblatt!$C$14&lt;&gt;'WK-Vorlagen'!$C$82),"",IF(ISERROR(MATCH(VALUE(MID(G310,1,2)),Schwierigkeitsstufen!$G$7:$G$19,0)),"Gerät falsch",LOOKUP(VALUE(MID(G310,1,2)),Schwierigkeitsstufen!$G$7:$G$19,Schwierigkeitsstufen!$H$7:$H$19)))</f>
        <v/>
      </c>
      <c r="AB310" s="250" t="str">
        <f>IF((($A310="")*($B310=""))+((MID($Y310,1,4)&lt;&gt;"Wahl")*(Deckblatt!$C$14='WK-Vorlagen'!$C$82))+(Deckblatt!$C$14&lt;&gt;'WK-Vorlagen'!$C$82),"",IF(ISERROR(MATCH(VALUE(MID(H310,1,2)),Schwierigkeitsstufen!$G$7:$G$19,0)),"Gerät falsch",LOOKUP(VALUE(MID(H310,1,2)),Schwierigkeitsstufen!$G$7:$G$19,Schwierigkeitsstufen!$H$7:$H$19)))</f>
        <v/>
      </c>
      <c r="AC310" s="250" t="str">
        <f>IF((($A310="")*($B310=""))+((MID($Y310,1,4)&lt;&gt;"Wahl")*(Deckblatt!$C$14='WK-Vorlagen'!$C$82))+(Deckblatt!$C$14&lt;&gt;'WK-Vorlagen'!$C$82),"",IF(ISERROR(MATCH(VALUE(MID(I310,1,2)),Schwierigkeitsstufen!$G$7:$G$19,0)),"Gerät falsch",LOOKUP(VALUE(MID(I310,1,2)),Schwierigkeitsstufen!$G$7:$G$19,Schwierigkeitsstufen!$H$7:$H$19)))</f>
        <v/>
      </c>
      <c r="AD310" s="251" t="str">
        <f>IF((($A310="")*($B310=""))+((MID($Y310,1,4)&lt;&gt;"Wahl")*(Deckblatt!$C$14='WK-Vorlagen'!$C$82))+(Deckblatt!$C$14&lt;&gt;'WK-Vorlagen'!$C$82),"",IF(ISERROR(MATCH(VALUE(MID(J310,1,2)),Schwierigkeitsstufen!$G$7:$G$19,0)),"Gerät falsch",LOOKUP(VALUE(MID(J310,1,2)),Schwierigkeitsstufen!$G$7:$G$19,Schwierigkeitsstufen!$H$7:$H$19)))</f>
        <v/>
      </c>
      <c r="AE310" s="211"/>
      <c r="AG310" s="221" t="str">
        <f t="shared" si="36"/>
        <v/>
      </c>
      <c r="AH310" s="222" t="str">
        <f t="shared" si="38"/>
        <v/>
      </c>
      <c r="AI310" s="220">
        <f t="shared" si="43"/>
        <v>4</v>
      </c>
      <c r="AJ310" s="222">
        <f t="shared" si="39"/>
        <v>0</v>
      </c>
      <c r="AK310" s="299" t="str">
        <f>IF(ISERROR(LOOKUP(E310,WKNrListe,Übersicht!$R$7:$R$46)),"-",LOOKUP(E310,WKNrListe,Übersicht!$R$7:$R$46))</f>
        <v>-</v>
      </c>
      <c r="AL310" s="299" t="str">
        <f t="shared" si="42"/>
        <v>-</v>
      </c>
      <c r="AM310" s="303"/>
      <c r="AN310" s="174" t="str">
        <f t="shared" si="44"/>
        <v>Leer</v>
      </c>
    </row>
    <row r="311" spans="1:40" s="174" customFormat="1" ht="15" customHeight="1">
      <c r="A311" s="63"/>
      <c r="B311" s="63"/>
      <c r="C311" s="84"/>
      <c r="D311" s="85"/>
      <c r="E311" s="62"/>
      <c r="F311" s="62"/>
      <c r="G311" s="62"/>
      <c r="H311" s="62"/>
      <c r="I311" s="62"/>
      <c r="J311" s="62"/>
      <c r="K311" s="62"/>
      <c r="L311" s="62"/>
      <c r="M311" s="62"/>
      <c r="N311" s="62"/>
      <c r="O311" s="62"/>
      <c r="P311" s="62"/>
      <c r="Q311" s="62"/>
      <c r="R311" s="62"/>
      <c r="S311" s="258"/>
      <c r="T311" s="248" t="str">
        <f t="shared" si="40"/>
        <v/>
      </c>
      <c r="U311" s="249" t="str">
        <f t="shared" si="41"/>
        <v/>
      </c>
      <c r="V311" s="294" t="str">
        <f t="shared" si="37"/>
        <v/>
      </c>
      <c r="W311" s="294" t="str">
        <f>IF(((E311="")+(F311="")),"",IF(VLOOKUP(F311,Mannschaften!$A$1:$B$54,2,FALSE)&lt;&gt;E311,"Reiter Mannschaften füllen",""))</f>
        <v/>
      </c>
      <c r="X311" s="248" t="str">
        <f>IF(ISBLANK(C311),"",IF((U311&gt;(LOOKUP(E311,WKNrListe,Übersicht!$O$7:$O$46)))+(U311&lt;(LOOKUP(E311,WKNrListe,Übersicht!$P$7:$P$46))),"JG falsch",""))</f>
        <v/>
      </c>
      <c r="Y311" s="255" t="str">
        <f>IF((A311="")*(B311=""),"",IF(ISERROR(MATCH(E311,WKNrListe,0)),"WK falsch",LOOKUP(E311,WKNrListe,Übersicht!$B$7:$B$46)))</f>
        <v/>
      </c>
      <c r="Z311" s="269" t="str">
        <f>IF(((AJ311=0)*(AH311&lt;&gt;"")*(AK311="-"))+((AJ311&lt;&gt;0)*(AH311&lt;&gt;"")*(AK311="-")),IF(AG311="X",Übersicht!$C$70,Übersicht!$C$69),"-")</f>
        <v>-</v>
      </c>
      <c r="AA311" s="252" t="str">
        <f>IF((($A311="")*($B311=""))+((MID($Y311,1,4)&lt;&gt;"Wahl")*(Deckblatt!$C$14='WK-Vorlagen'!$C$82))+(Deckblatt!$C$14&lt;&gt;'WK-Vorlagen'!$C$82),"",IF(ISERROR(MATCH(VALUE(MID(G311,1,2)),Schwierigkeitsstufen!$G$7:$G$19,0)),"Gerät falsch",LOOKUP(VALUE(MID(G311,1,2)),Schwierigkeitsstufen!$G$7:$G$19,Schwierigkeitsstufen!$H$7:$H$19)))</f>
        <v/>
      </c>
      <c r="AB311" s="250" t="str">
        <f>IF((($A311="")*($B311=""))+((MID($Y311,1,4)&lt;&gt;"Wahl")*(Deckblatt!$C$14='WK-Vorlagen'!$C$82))+(Deckblatt!$C$14&lt;&gt;'WK-Vorlagen'!$C$82),"",IF(ISERROR(MATCH(VALUE(MID(H311,1,2)),Schwierigkeitsstufen!$G$7:$G$19,0)),"Gerät falsch",LOOKUP(VALUE(MID(H311,1,2)),Schwierigkeitsstufen!$G$7:$G$19,Schwierigkeitsstufen!$H$7:$H$19)))</f>
        <v/>
      </c>
      <c r="AC311" s="250" t="str">
        <f>IF((($A311="")*($B311=""))+((MID($Y311,1,4)&lt;&gt;"Wahl")*(Deckblatt!$C$14='WK-Vorlagen'!$C$82))+(Deckblatt!$C$14&lt;&gt;'WK-Vorlagen'!$C$82),"",IF(ISERROR(MATCH(VALUE(MID(I311,1,2)),Schwierigkeitsstufen!$G$7:$G$19,0)),"Gerät falsch",LOOKUP(VALUE(MID(I311,1,2)),Schwierigkeitsstufen!$G$7:$G$19,Schwierigkeitsstufen!$H$7:$H$19)))</f>
        <v/>
      </c>
      <c r="AD311" s="251" t="str">
        <f>IF((($A311="")*($B311=""))+((MID($Y311,1,4)&lt;&gt;"Wahl")*(Deckblatt!$C$14='WK-Vorlagen'!$C$82))+(Deckblatt!$C$14&lt;&gt;'WK-Vorlagen'!$C$82),"",IF(ISERROR(MATCH(VALUE(MID(J311,1,2)),Schwierigkeitsstufen!$G$7:$G$19,0)),"Gerät falsch",LOOKUP(VALUE(MID(J311,1,2)),Schwierigkeitsstufen!$G$7:$G$19,Schwierigkeitsstufen!$H$7:$H$19)))</f>
        <v/>
      </c>
      <c r="AE311" s="211"/>
      <c r="AG311" s="221" t="str">
        <f t="shared" si="36"/>
        <v/>
      </c>
      <c r="AH311" s="222" t="str">
        <f t="shared" si="38"/>
        <v/>
      </c>
      <c r="AI311" s="220">
        <f t="shared" si="43"/>
        <v>4</v>
      </c>
      <c r="AJ311" s="222">
        <f t="shared" si="39"/>
        <v>0</v>
      </c>
      <c r="AK311" s="299" t="str">
        <f>IF(ISERROR(LOOKUP(E311,WKNrListe,Übersicht!$R$7:$R$46)),"-",LOOKUP(E311,WKNrListe,Übersicht!$R$7:$R$46))</f>
        <v>-</v>
      </c>
      <c r="AL311" s="299" t="str">
        <f t="shared" si="42"/>
        <v>-</v>
      </c>
      <c r="AM311" s="303"/>
      <c r="AN311" s="174" t="str">
        <f t="shared" si="44"/>
        <v>Leer</v>
      </c>
    </row>
    <row r="312" spans="1:40" s="174" customFormat="1" ht="15" customHeight="1">
      <c r="A312" s="63"/>
      <c r="B312" s="63"/>
      <c r="C312" s="84"/>
      <c r="D312" s="85"/>
      <c r="E312" s="62"/>
      <c r="F312" s="62"/>
      <c r="G312" s="62"/>
      <c r="H312" s="62"/>
      <c r="I312" s="62"/>
      <c r="J312" s="62"/>
      <c r="K312" s="62"/>
      <c r="L312" s="62"/>
      <c r="M312" s="62"/>
      <c r="N312" s="62"/>
      <c r="O312" s="62"/>
      <c r="P312" s="62"/>
      <c r="Q312" s="62"/>
      <c r="R312" s="62"/>
      <c r="S312" s="258"/>
      <c r="T312" s="248" t="str">
        <f t="shared" si="40"/>
        <v/>
      </c>
      <c r="U312" s="249" t="str">
        <f t="shared" si="41"/>
        <v/>
      </c>
      <c r="V312" s="294" t="str">
        <f t="shared" si="37"/>
        <v/>
      </c>
      <c r="W312" s="294" t="str">
        <f>IF(((E312="")+(F312="")),"",IF(VLOOKUP(F312,Mannschaften!$A$1:$B$54,2,FALSE)&lt;&gt;E312,"Reiter Mannschaften füllen",""))</f>
        <v/>
      </c>
      <c r="X312" s="248" t="str">
        <f>IF(ISBLANK(C312),"",IF((U312&gt;(LOOKUP(E312,WKNrListe,Übersicht!$O$7:$O$46)))+(U312&lt;(LOOKUP(E312,WKNrListe,Übersicht!$P$7:$P$46))),"JG falsch",""))</f>
        <v/>
      </c>
      <c r="Y312" s="255" t="str">
        <f>IF((A312="")*(B312=""),"",IF(ISERROR(MATCH(E312,WKNrListe,0)),"WK falsch",LOOKUP(E312,WKNrListe,Übersicht!$B$7:$B$46)))</f>
        <v/>
      </c>
      <c r="Z312" s="269" t="str">
        <f>IF(((AJ312=0)*(AH312&lt;&gt;"")*(AK312="-"))+((AJ312&lt;&gt;0)*(AH312&lt;&gt;"")*(AK312="-")),IF(AG312="X",Übersicht!$C$70,Übersicht!$C$69),"-")</f>
        <v>-</v>
      </c>
      <c r="AA312" s="252" t="str">
        <f>IF((($A312="")*($B312=""))+((MID($Y312,1,4)&lt;&gt;"Wahl")*(Deckblatt!$C$14='WK-Vorlagen'!$C$82))+(Deckblatt!$C$14&lt;&gt;'WK-Vorlagen'!$C$82),"",IF(ISERROR(MATCH(VALUE(MID(G312,1,2)),Schwierigkeitsstufen!$G$7:$G$19,0)),"Gerät falsch",LOOKUP(VALUE(MID(G312,1,2)),Schwierigkeitsstufen!$G$7:$G$19,Schwierigkeitsstufen!$H$7:$H$19)))</f>
        <v/>
      </c>
      <c r="AB312" s="250" t="str">
        <f>IF((($A312="")*($B312=""))+((MID($Y312,1,4)&lt;&gt;"Wahl")*(Deckblatt!$C$14='WK-Vorlagen'!$C$82))+(Deckblatt!$C$14&lt;&gt;'WK-Vorlagen'!$C$82),"",IF(ISERROR(MATCH(VALUE(MID(H312,1,2)),Schwierigkeitsstufen!$G$7:$G$19,0)),"Gerät falsch",LOOKUP(VALUE(MID(H312,1,2)),Schwierigkeitsstufen!$G$7:$G$19,Schwierigkeitsstufen!$H$7:$H$19)))</f>
        <v/>
      </c>
      <c r="AC312" s="250" t="str">
        <f>IF((($A312="")*($B312=""))+((MID($Y312,1,4)&lt;&gt;"Wahl")*(Deckblatt!$C$14='WK-Vorlagen'!$C$82))+(Deckblatt!$C$14&lt;&gt;'WK-Vorlagen'!$C$82),"",IF(ISERROR(MATCH(VALUE(MID(I312,1,2)),Schwierigkeitsstufen!$G$7:$G$19,0)),"Gerät falsch",LOOKUP(VALUE(MID(I312,1,2)),Schwierigkeitsstufen!$G$7:$G$19,Schwierigkeitsstufen!$H$7:$H$19)))</f>
        <v/>
      </c>
      <c r="AD312" s="251" t="str">
        <f>IF((($A312="")*($B312=""))+((MID($Y312,1,4)&lt;&gt;"Wahl")*(Deckblatt!$C$14='WK-Vorlagen'!$C$82))+(Deckblatt!$C$14&lt;&gt;'WK-Vorlagen'!$C$82),"",IF(ISERROR(MATCH(VALUE(MID(J312,1,2)),Schwierigkeitsstufen!$G$7:$G$19,0)),"Gerät falsch",LOOKUP(VALUE(MID(J312,1,2)),Schwierigkeitsstufen!$G$7:$G$19,Schwierigkeitsstufen!$H$7:$H$19)))</f>
        <v/>
      </c>
      <c r="AE312" s="211"/>
      <c r="AG312" s="221" t="str">
        <f t="shared" si="36"/>
        <v/>
      </c>
      <c r="AH312" s="222" t="str">
        <f t="shared" si="38"/>
        <v/>
      </c>
      <c r="AI312" s="220">
        <f t="shared" si="43"/>
        <v>4</v>
      </c>
      <c r="AJ312" s="222">
        <f t="shared" si="39"/>
        <v>0</v>
      </c>
      <c r="AK312" s="299" t="str">
        <f>IF(ISERROR(LOOKUP(E312,WKNrListe,Übersicht!$R$7:$R$46)),"-",LOOKUP(E312,WKNrListe,Übersicht!$R$7:$R$46))</f>
        <v>-</v>
      </c>
      <c r="AL312" s="299" t="str">
        <f t="shared" si="42"/>
        <v>-</v>
      </c>
      <c r="AM312" s="303"/>
      <c r="AN312" s="174" t="str">
        <f t="shared" si="44"/>
        <v>Leer</v>
      </c>
    </row>
    <row r="313" spans="1:40" s="174" customFormat="1" ht="15" customHeight="1">
      <c r="A313" s="63"/>
      <c r="B313" s="63"/>
      <c r="C313" s="84"/>
      <c r="D313" s="85"/>
      <c r="E313" s="62"/>
      <c r="F313" s="62"/>
      <c r="G313" s="62"/>
      <c r="H313" s="62"/>
      <c r="I313" s="62"/>
      <c r="J313" s="62"/>
      <c r="K313" s="62"/>
      <c r="L313" s="62"/>
      <c r="M313" s="62"/>
      <c r="N313" s="62"/>
      <c r="O313" s="62"/>
      <c r="P313" s="62"/>
      <c r="Q313" s="62"/>
      <c r="R313" s="62"/>
      <c r="S313" s="258"/>
      <c r="T313" s="248" t="str">
        <f t="shared" si="40"/>
        <v/>
      </c>
      <c r="U313" s="249" t="str">
        <f t="shared" si="41"/>
        <v/>
      </c>
      <c r="V313" s="294" t="str">
        <f t="shared" si="37"/>
        <v/>
      </c>
      <c r="W313" s="294" t="str">
        <f>IF(((E313="")+(F313="")),"",IF(VLOOKUP(F313,Mannschaften!$A$1:$B$54,2,FALSE)&lt;&gt;E313,"Reiter Mannschaften füllen",""))</f>
        <v/>
      </c>
      <c r="X313" s="248" t="str">
        <f>IF(ISBLANK(C313),"",IF((U313&gt;(LOOKUP(E313,WKNrListe,Übersicht!$O$7:$O$46)))+(U313&lt;(LOOKUP(E313,WKNrListe,Übersicht!$P$7:$P$46))),"JG falsch",""))</f>
        <v/>
      </c>
      <c r="Y313" s="255" t="str">
        <f>IF((A313="")*(B313=""),"",IF(ISERROR(MATCH(E313,WKNrListe,0)),"WK falsch",LOOKUP(E313,WKNrListe,Übersicht!$B$7:$B$46)))</f>
        <v/>
      </c>
      <c r="Z313" s="269" t="str">
        <f>IF(((AJ313=0)*(AH313&lt;&gt;"")*(AK313="-"))+((AJ313&lt;&gt;0)*(AH313&lt;&gt;"")*(AK313="-")),IF(AG313="X",Übersicht!$C$70,Übersicht!$C$69),"-")</f>
        <v>-</v>
      </c>
      <c r="AA313" s="252" t="str">
        <f>IF((($A313="")*($B313=""))+((MID($Y313,1,4)&lt;&gt;"Wahl")*(Deckblatt!$C$14='WK-Vorlagen'!$C$82))+(Deckblatt!$C$14&lt;&gt;'WK-Vorlagen'!$C$82),"",IF(ISERROR(MATCH(VALUE(MID(G313,1,2)),Schwierigkeitsstufen!$G$7:$G$19,0)),"Gerät falsch",LOOKUP(VALUE(MID(G313,1,2)),Schwierigkeitsstufen!$G$7:$G$19,Schwierigkeitsstufen!$H$7:$H$19)))</f>
        <v/>
      </c>
      <c r="AB313" s="250" t="str">
        <f>IF((($A313="")*($B313=""))+((MID($Y313,1,4)&lt;&gt;"Wahl")*(Deckblatt!$C$14='WK-Vorlagen'!$C$82))+(Deckblatt!$C$14&lt;&gt;'WK-Vorlagen'!$C$82),"",IF(ISERROR(MATCH(VALUE(MID(H313,1,2)),Schwierigkeitsstufen!$G$7:$G$19,0)),"Gerät falsch",LOOKUP(VALUE(MID(H313,1,2)),Schwierigkeitsstufen!$G$7:$G$19,Schwierigkeitsstufen!$H$7:$H$19)))</f>
        <v/>
      </c>
      <c r="AC313" s="250" t="str">
        <f>IF((($A313="")*($B313=""))+((MID($Y313,1,4)&lt;&gt;"Wahl")*(Deckblatt!$C$14='WK-Vorlagen'!$C$82))+(Deckblatt!$C$14&lt;&gt;'WK-Vorlagen'!$C$82),"",IF(ISERROR(MATCH(VALUE(MID(I313,1,2)),Schwierigkeitsstufen!$G$7:$G$19,0)),"Gerät falsch",LOOKUP(VALUE(MID(I313,1,2)),Schwierigkeitsstufen!$G$7:$G$19,Schwierigkeitsstufen!$H$7:$H$19)))</f>
        <v/>
      </c>
      <c r="AD313" s="251" t="str">
        <f>IF((($A313="")*($B313=""))+((MID($Y313,1,4)&lt;&gt;"Wahl")*(Deckblatt!$C$14='WK-Vorlagen'!$C$82))+(Deckblatt!$C$14&lt;&gt;'WK-Vorlagen'!$C$82),"",IF(ISERROR(MATCH(VALUE(MID(J313,1,2)),Schwierigkeitsstufen!$G$7:$G$19,0)),"Gerät falsch",LOOKUP(VALUE(MID(J313,1,2)),Schwierigkeitsstufen!$G$7:$G$19,Schwierigkeitsstufen!$H$7:$H$19)))</f>
        <v/>
      </c>
      <c r="AE313" s="211"/>
      <c r="AG313" s="221" t="str">
        <f t="shared" si="36"/>
        <v/>
      </c>
      <c r="AH313" s="222" t="str">
        <f t="shared" si="38"/>
        <v/>
      </c>
      <c r="AI313" s="220">
        <f t="shared" si="43"/>
        <v>4</v>
      </c>
      <c r="AJ313" s="222">
        <f t="shared" si="39"/>
        <v>0</v>
      </c>
      <c r="AK313" s="299" t="str">
        <f>IF(ISERROR(LOOKUP(E313,WKNrListe,Übersicht!$R$7:$R$46)),"-",LOOKUP(E313,WKNrListe,Übersicht!$R$7:$R$46))</f>
        <v>-</v>
      </c>
      <c r="AL313" s="299" t="str">
        <f t="shared" si="42"/>
        <v>-</v>
      </c>
      <c r="AM313" s="303"/>
      <c r="AN313" s="174" t="str">
        <f t="shared" si="44"/>
        <v>Leer</v>
      </c>
    </row>
    <row r="314" spans="1:40" s="174" customFormat="1" ht="15" customHeight="1">
      <c r="A314" s="63"/>
      <c r="B314" s="63"/>
      <c r="C314" s="84"/>
      <c r="D314" s="85"/>
      <c r="E314" s="62"/>
      <c r="F314" s="62"/>
      <c r="G314" s="62"/>
      <c r="H314" s="62"/>
      <c r="I314" s="62"/>
      <c r="J314" s="62"/>
      <c r="K314" s="62"/>
      <c r="L314" s="62"/>
      <c r="M314" s="62"/>
      <c r="N314" s="62"/>
      <c r="O314" s="62"/>
      <c r="P314" s="62"/>
      <c r="Q314" s="62"/>
      <c r="R314" s="62"/>
      <c r="S314" s="258"/>
      <c r="T314" s="248" t="str">
        <f t="shared" si="40"/>
        <v/>
      </c>
      <c r="U314" s="249" t="str">
        <f t="shared" si="41"/>
        <v/>
      </c>
      <c r="V314" s="294" t="str">
        <f t="shared" si="37"/>
        <v/>
      </c>
      <c r="W314" s="294" t="str">
        <f>IF(((E314="")+(F314="")),"",IF(VLOOKUP(F314,Mannschaften!$A$1:$B$54,2,FALSE)&lt;&gt;E314,"Reiter Mannschaften füllen",""))</f>
        <v/>
      </c>
      <c r="X314" s="248" t="str">
        <f>IF(ISBLANK(C314),"",IF((U314&gt;(LOOKUP(E314,WKNrListe,Übersicht!$O$7:$O$46)))+(U314&lt;(LOOKUP(E314,WKNrListe,Übersicht!$P$7:$P$46))),"JG falsch",""))</f>
        <v/>
      </c>
      <c r="Y314" s="255" t="str">
        <f>IF((A314="")*(B314=""),"",IF(ISERROR(MATCH(E314,WKNrListe,0)),"WK falsch",LOOKUP(E314,WKNrListe,Übersicht!$B$7:$B$46)))</f>
        <v/>
      </c>
      <c r="Z314" s="269" t="str">
        <f>IF(((AJ314=0)*(AH314&lt;&gt;"")*(AK314="-"))+((AJ314&lt;&gt;0)*(AH314&lt;&gt;"")*(AK314="-")),IF(AG314="X",Übersicht!$C$70,Übersicht!$C$69),"-")</f>
        <v>-</v>
      </c>
      <c r="AA314" s="252" t="str">
        <f>IF((($A314="")*($B314=""))+((MID($Y314,1,4)&lt;&gt;"Wahl")*(Deckblatt!$C$14='WK-Vorlagen'!$C$82))+(Deckblatt!$C$14&lt;&gt;'WK-Vorlagen'!$C$82),"",IF(ISERROR(MATCH(VALUE(MID(G314,1,2)),Schwierigkeitsstufen!$G$7:$G$19,0)),"Gerät falsch",LOOKUP(VALUE(MID(G314,1,2)),Schwierigkeitsstufen!$G$7:$G$19,Schwierigkeitsstufen!$H$7:$H$19)))</f>
        <v/>
      </c>
      <c r="AB314" s="250" t="str">
        <f>IF((($A314="")*($B314=""))+((MID($Y314,1,4)&lt;&gt;"Wahl")*(Deckblatt!$C$14='WK-Vorlagen'!$C$82))+(Deckblatt!$C$14&lt;&gt;'WK-Vorlagen'!$C$82),"",IF(ISERROR(MATCH(VALUE(MID(H314,1,2)),Schwierigkeitsstufen!$G$7:$G$19,0)),"Gerät falsch",LOOKUP(VALUE(MID(H314,1,2)),Schwierigkeitsstufen!$G$7:$G$19,Schwierigkeitsstufen!$H$7:$H$19)))</f>
        <v/>
      </c>
      <c r="AC314" s="250" t="str">
        <f>IF((($A314="")*($B314=""))+((MID($Y314,1,4)&lt;&gt;"Wahl")*(Deckblatt!$C$14='WK-Vorlagen'!$C$82))+(Deckblatt!$C$14&lt;&gt;'WK-Vorlagen'!$C$82),"",IF(ISERROR(MATCH(VALUE(MID(I314,1,2)),Schwierigkeitsstufen!$G$7:$G$19,0)),"Gerät falsch",LOOKUP(VALUE(MID(I314,1,2)),Schwierigkeitsstufen!$G$7:$G$19,Schwierigkeitsstufen!$H$7:$H$19)))</f>
        <v/>
      </c>
      <c r="AD314" s="251" t="str">
        <f>IF((($A314="")*($B314=""))+((MID($Y314,1,4)&lt;&gt;"Wahl")*(Deckblatt!$C$14='WK-Vorlagen'!$C$82))+(Deckblatt!$C$14&lt;&gt;'WK-Vorlagen'!$C$82),"",IF(ISERROR(MATCH(VALUE(MID(J314,1,2)),Schwierigkeitsstufen!$G$7:$G$19,0)),"Gerät falsch",LOOKUP(VALUE(MID(J314,1,2)),Schwierigkeitsstufen!$G$7:$G$19,Schwierigkeitsstufen!$H$7:$H$19)))</f>
        <v/>
      </c>
      <c r="AE314" s="211"/>
      <c r="AG314" s="221" t="str">
        <f t="shared" si="36"/>
        <v/>
      </c>
      <c r="AH314" s="222" t="str">
        <f t="shared" si="38"/>
        <v/>
      </c>
      <c r="AI314" s="220">
        <f t="shared" si="43"/>
        <v>4</v>
      </c>
      <c r="AJ314" s="222">
        <f t="shared" si="39"/>
        <v>0</v>
      </c>
      <c r="AK314" s="299" t="str">
        <f>IF(ISERROR(LOOKUP(E314,WKNrListe,Übersicht!$R$7:$R$46)),"-",LOOKUP(E314,WKNrListe,Übersicht!$R$7:$R$46))</f>
        <v>-</v>
      </c>
      <c r="AL314" s="299" t="str">
        <f t="shared" si="42"/>
        <v>-</v>
      </c>
      <c r="AM314" s="303"/>
      <c r="AN314" s="174" t="str">
        <f t="shared" si="44"/>
        <v>Leer</v>
      </c>
    </row>
    <row r="315" spans="1:40" s="174" customFormat="1" ht="15" customHeight="1">
      <c r="A315" s="63"/>
      <c r="B315" s="63"/>
      <c r="C315" s="84"/>
      <c r="D315" s="85"/>
      <c r="E315" s="62"/>
      <c r="F315" s="62"/>
      <c r="G315" s="62"/>
      <c r="H315" s="62"/>
      <c r="I315" s="62"/>
      <c r="J315" s="62"/>
      <c r="K315" s="62"/>
      <c r="L315" s="62"/>
      <c r="M315" s="62"/>
      <c r="N315" s="62"/>
      <c r="O315" s="62"/>
      <c r="P315" s="62"/>
      <c r="Q315" s="62"/>
      <c r="R315" s="62"/>
      <c r="S315" s="258"/>
      <c r="T315" s="248" t="str">
        <f t="shared" si="40"/>
        <v/>
      </c>
      <c r="U315" s="249" t="str">
        <f t="shared" si="41"/>
        <v/>
      </c>
      <c r="V315" s="294" t="str">
        <f t="shared" si="37"/>
        <v/>
      </c>
      <c r="W315" s="294" t="str">
        <f>IF(((E315="")+(F315="")),"",IF(VLOOKUP(F315,Mannschaften!$A$1:$B$54,2,FALSE)&lt;&gt;E315,"Reiter Mannschaften füllen",""))</f>
        <v/>
      </c>
      <c r="X315" s="248" t="str">
        <f>IF(ISBLANK(C315),"",IF((U315&gt;(LOOKUP(E315,WKNrListe,Übersicht!$O$7:$O$46)))+(U315&lt;(LOOKUP(E315,WKNrListe,Übersicht!$P$7:$P$46))),"JG falsch",""))</f>
        <v/>
      </c>
      <c r="Y315" s="255" t="str">
        <f>IF((A315="")*(B315=""),"",IF(ISERROR(MATCH(E315,WKNrListe,0)),"WK falsch",LOOKUP(E315,WKNrListe,Übersicht!$B$7:$B$46)))</f>
        <v/>
      </c>
      <c r="Z315" s="269" t="str">
        <f>IF(((AJ315=0)*(AH315&lt;&gt;"")*(AK315="-"))+((AJ315&lt;&gt;0)*(AH315&lt;&gt;"")*(AK315="-")),IF(AG315="X",Übersicht!$C$70,Übersicht!$C$69),"-")</f>
        <v>-</v>
      </c>
      <c r="AA315" s="252" t="str">
        <f>IF((($A315="")*($B315=""))+((MID($Y315,1,4)&lt;&gt;"Wahl")*(Deckblatt!$C$14='WK-Vorlagen'!$C$82))+(Deckblatt!$C$14&lt;&gt;'WK-Vorlagen'!$C$82),"",IF(ISERROR(MATCH(VALUE(MID(G315,1,2)),Schwierigkeitsstufen!$G$7:$G$19,0)),"Gerät falsch",LOOKUP(VALUE(MID(G315,1,2)),Schwierigkeitsstufen!$G$7:$G$19,Schwierigkeitsstufen!$H$7:$H$19)))</f>
        <v/>
      </c>
      <c r="AB315" s="250" t="str">
        <f>IF((($A315="")*($B315=""))+((MID($Y315,1,4)&lt;&gt;"Wahl")*(Deckblatt!$C$14='WK-Vorlagen'!$C$82))+(Deckblatt!$C$14&lt;&gt;'WK-Vorlagen'!$C$82),"",IF(ISERROR(MATCH(VALUE(MID(H315,1,2)),Schwierigkeitsstufen!$G$7:$G$19,0)),"Gerät falsch",LOOKUP(VALUE(MID(H315,1,2)),Schwierigkeitsstufen!$G$7:$G$19,Schwierigkeitsstufen!$H$7:$H$19)))</f>
        <v/>
      </c>
      <c r="AC315" s="250" t="str">
        <f>IF((($A315="")*($B315=""))+((MID($Y315,1,4)&lt;&gt;"Wahl")*(Deckblatt!$C$14='WK-Vorlagen'!$C$82))+(Deckblatt!$C$14&lt;&gt;'WK-Vorlagen'!$C$82),"",IF(ISERROR(MATCH(VALUE(MID(I315,1,2)),Schwierigkeitsstufen!$G$7:$G$19,0)),"Gerät falsch",LOOKUP(VALUE(MID(I315,1,2)),Schwierigkeitsstufen!$G$7:$G$19,Schwierigkeitsstufen!$H$7:$H$19)))</f>
        <v/>
      </c>
      <c r="AD315" s="251" t="str">
        <f>IF((($A315="")*($B315=""))+((MID($Y315,1,4)&lt;&gt;"Wahl")*(Deckblatt!$C$14='WK-Vorlagen'!$C$82))+(Deckblatt!$C$14&lt;&gt;'WK-Vorlagen'!$C$82),"",IF(ISERROR(MATCH(VALUE(MID(J315,1,2)),Schwierigkeitsstufen!$G$7:$G$19,0)),"Gerät falsch",LOOKUP(VALUE(MID(J315,1,2)),Schwierigkeitsstufen!$G$7:$G$19,Schwierigkeitsstufen!$H$7:$H$19)))</f>
        <v/>
      </c>
      <c r="AE315" s="211"/>
      <c r="AG315" s="221" t="str">
        <f t="shared" si="36"/>
        <v/>
      </c>
      <c r="AH315" s="222" t="str">
        <f t="shared" si="38"/>
        <v/>
      </c>
      <c r="AI315" s="220">
        <f t="shared" si="43"/>
        <v>4</v>
      </c>
      <c r="AJ315" s="222">
        <f t="shared" si="39"/>
        <v>0</v>
      </c>
      <c r="AK315" s="299" t="str">
        <f>IF(ISERROR(LOOKUP(E315,WKNrListe,Übersicht!$R$7:$R$46)),"-",LOOKUP(E315,WKNrListe,Übersicht!$R$7:$R$46))</f>
        <v>-</v>
      </c>
      <c r="AL315" s="299" t="str">
        <f t="shared" si="42"/>
        <v>-</v>
      </c>
      <c r="AM315" s="303"/>
      <c r="AN315" s="174" t="str">
        <f t="shared" si="44"/>
        <v>Leer</v>
      </c>
    </row>
    <row r="316" spans="1:40" s="174" customFormat="1" ht="15" customHeight="1">
      <c r="A316" s="63"/>
      <c r="B316" s="63"/>
      <c r="C316" s="84"/>
      <c r="D316" s="85"/>
      <c r="E316" s="62"/>
      <c r="F316" s="62"/>
      <c r="G316" s="62"/>
      <c r="H316" s="62"/>
      <c r="I316" s="62"/>
      <c r="J316" s="62"/>
      <c r="K316" s="62"/>
      <c r="L316" s="62"/>
      <c r="M316" s="62"/>
      <c r="N316" s="62"/>
      <c r="O316" s="62"/>
      <c r="P316" s="62"/>
      <c r="Q316" s="62"/>
      <c r="R316" s="62"/>
      <c r="S316" s="258"/>
      <c r="T316" s="248" t="str">
        <f t="shared" si="40"/>
        <v/>
      </c>
      <c r="U316" s="249" t="str">
        <f t="shared" si="41"/>
        <v/>
      </c>
      <c r="V316" s="294" t="str">
        <f t="shared" si="37"/>
        <v/>
      </c>
      <c r="W316" s="294" t="str">
        <f>IF(((E316="")+(F316="")),"",IF(VLOOKUP(F316,Mannschaften!$A$1:$B$54,2,FALSE)&lt;&gt;E316,"Reiter Mannschaften füllen",""))</f>
        <v/>
      </c>
      <c r="X316" s="248" t="str">
        <f>IF(ISBLANK(C316),"",IF((U316&gt;(LOOKUP(E316,WKNrListe,Übersicht!$O$7:$O$46)))+(U316&lt;(LOOKUP(E316,WKNrListe,Übersicht!$P$7:$P$46))),"JG falsch",""))</f>
        <v/>
      </c>
      <c r="Y316" s="255" t="str">
        <f>IF((A316="")*(B316=""),"",IF(ISERROR(MATCH(E316,WKNrListe,0)),"WK falsch",LOOKUP(E316,WKNrListe,Übersicht!$B$7:$B$46)))</f>
        <v/>
      </c>
      <c r="Z316" s="269" t="str">
        <f>IF(((AJ316=0)*(AH316&lt;&gt;"")*(AK316="-"))+((AJ316&lt;&gt;0)*(AH316&lt;&gt;"")*(AK316="-")),IF(AG316="X",Übersicht!$C$70,Übersicht!$C$69),"-")</f>
        <v>-</v>
      </c>
      <c r="AA316" s="252" t="str">
        <f>IF((($A316="")*($B316=""))+((MID($Y316,1,4)&lt;&gt;"Wahl")*(Deckblatt!$C$14='WK-Vorlagen'!$C$82))+(Deckblatt!$C$14&lt;&gt;'WK-Vorlagen'!$C$82),"",IF(ISERROR(MATCH(VALUE(MID(G316,1,2)),Schwierigkeitsstufen!$G$7:$G$19,0)),"Gerät falsch",LOOKUP(VALUE(MID(G316,1,2)),Schwierigkeitsstufen!$G$7:$G$19,Schwierigkeitsstufen!$H$7:$H$19)))</f>
        <v/>
      </c>
      <c r="AB316" s="250" t="str">
        <f>IF((($A316="")*($B316=""))+((MID($Y316,1,4)&lt;&gt;"Wahl")*(Deckblatt!$C$14='WK-Vorlagen'!$C$82))+(Deckblatt!$C$14&lt;&gt;'WK-Vorlagen'!$C$82),"",IF(ISERROR(MATCH(VALUE(MID(H316,1,2)),Schwierigkeitsstufen!$G$7:$G$19,0)),"Gerät falsch",LOOKUP(VALUE(MID(H316,1,2)),Schwierigkeitsstufen!$G$7:$G$19,Schwierigkeitsstufen!$H$7:$H$19)))</f>
        <v/>
      </c>
      <c r="AC316" s="250" t="str">
        <f>IF((($A316="")*($B316=""))+((MID($Y316,1,4)&lt;&gt;"Wahl")*(Deckblatt!$C$14='WK-Vorlagen'!$C$82))+(Deckblatt!$C$14&lt;&gt;'WK-Vorlagen'!$C$82),"",IF(ISERROR(MATCH(VALUE(MID(I316,1,2)),Schwierigkeitsstufen!$G$7:$G$19,0)),"Gerät falsch",LOOKUP(VALUE(MID(I316,1,2)),Schwierigkeitsstufen!$G$7:$G$19,Schwierigkeitsstufen!$H$7:$H$19)))</f>
        <v/>
      </c>
      <c r="AD316" s="251" t="str">
        <f>IF((($A316="")*($B316=""))+((MID($Y316,1,4)&lt;&gt;"Wahl")*(Deckblatt!$C$14='WK-Vorlagen'!$C$82))+(Deckblatt!$C$14&lt;&gt;'WK-Vorlagen'!$C$82),"",IF(ISERROR(MATCH(VALUE(MID(J316,1,2)),Schwierigkeitsstufen!$G$7:$G$19,0)),"Gerät falsch",LOOKUP(VALUE(MID(J316,1,2)),Schwierigkeitsstufen!$G$7:$G$19,Schwierigkeitsstufen!$H$7:$H$19)))</f>
        <v/>
      </c>
      <c r="AE316" s="211"/>
      <c r="AG316" s="221" t="str">
        <f t="shared" si="36"/>
        <v/>
      </c>
      <c r="AH316" s="222" t="str">
        <f t="shared" si="38"/>
        <v/>
      </c>
      <c r="AI316" s="220">
        <f t="shared" si="43"/>
        <v>4</v>
      </c>
      <c r="AJ316" s="222">
        <f t="shared" si="39"/>
        <v>0</v>
      </c>
      <c r="AK316" s="299" t="str">
        <f>IF(ISERROR(LOOKUP(E316,WKNrListe,Übersicht!$R$7:$R$46)),"-",LOOKUP(E316,WKNrListe,Übersicht!$R$7:$R$46))</f>
        <v>-</v>
      </c>
      <c r="AL316" s="299" t="str">
        <f t="shared" si="42"/>
        <v>-</v>
      </c>
      <c r="AM316" s="303"/>
      <c r="AN316" s="174" t="str">
        <f t="shared" si="44"/>
        <v>Leer</v>
      </c>
    </row>
    <row r="317" spans="1:40" s="174" customFormat="1" ht="15" customHeight="1">
      <c r="A317" s="63"/>
      <c r="B317" s="63"/>
      <c r="C317" s="84"/>
      <c r="D317" s="85"/>
      <c r="E317" s="62"/>
      <c r="F317" s="62"/>
      <c r="G317" s="62"/>
      <c r="H317" s="62"/>
      <c r="I317" s="62"/>
      <c r="J317" s="62"/>
      <c r="K317" s="62"/>
      <c r="L317" s="62"/>
      <c r="M317" s="62"/>
      <c r="N317" s="62"/>
      <c r="O317" s="62"/>
      <c r="P317" s="62"/>
      <c r="Q317" s="62"/>
      <c r="R317" s="62"/>
      <c r="S317" s="258"/>
      <c r="T317" s="248" t="str">
        <f t="shared" si="40"/>
        <v/>
      </c>
      <c r="U317" s="249" t="str">
        <f t="shared" si="41"/>
        <v/>
      </c>
      <c r="V317" s="294" t="str">
        <f t="shared" si="37"/>
        <v/>
      </c>
      <c r="W317" s="294" t="str">
        <f>IF(((E317="")+(F317="")),"",IF(VLOOKUP(F317,Mannschaften!$A$1:$B$54,2,FALSE)&lt;&gt;E317,"Reiter Mannschaften füllen",""))</f>
        <v/>
      </c>
      <c r="X317" s="248" t="str">
        <f>IF(ISBLANK(C317),"",IF((U317&gt;(LOOKUP(E317,WKNrListe,Übersicht!$O$7:$O$46)))+(U317&lt;(LOOKUP(E317,WKNrListe,Übersicht!$P$7:$P$46))),"JG falsch",""))</f>
        <v/>
      </c>
      <c r="Y317" s="255" t="str">
        <f>IF((A317="")*(B317=""),"",IF(ISERROR(MATCH(E317,WKNrListe,0)),"WK falsch",LOOKUP(E317,WKNrListe,Übersicht!$B$7:$B$46)))</f>
        <v/>
      </c>
      <c r="Z317" s="269" t="str">
        <f>IF(((AJ317=0)*(AH317&lt;&gt;"")*(AK317="-"))+((AJ317&lt;&gt;0)*(AH317&lt;&gt;"")*(AK317="-")),IF(AG317="X",Übersicht!$C$70,Übersicht!$C$69),"-")</f>
        <v>-</v>
      </c>
      <c r="AA317" s="252" t="str">
        <f>IF((($A317="")*($B317=""))+((MID($Y317,1,4)&lt;&gt;"Wahl")*(Deckblatt!$C$14='WK-Vorlagen'!$C$82))+(Deckblatt!$C$14&lt;&gt;'WK-Vorlagen'!$C$82),"",IF(ISERROR(MATCH(VALUE(MID(G317,1,2)),Schwierigkeitsstufen!$G$7:$G$19,0)),"Gerät falsch",LOOKUP(VALUE(MID(G317,1,2)),Schwierigkeitsstufen!$G$7:$G$19,Schwierigkeitsstufen!$H$7:$H$19)))</f>
        <v/>
      </c>
      <c r="AB317" s="250" t="str">
        <f>IF((($A317="")*($B317=""))+((MID($Y317,1,4)&lt;&gt;"Wahl")*(Deckblatt!$C$14='WK-Vorlagen'!$C$82))+(Deckblatt!$C$14&lt;&gt;'WK-Vorlagen'!$C$82),"",IF(ISERROR(MATCH(VALUE(MID(H317,1,2)),Schwierigkeitsstufen!$G$7:$G$19,0)),"Gerät falsch",LOOKUP(VALUE(MID(H317,1,2)),Schwierigkeitsstufen!$G$7:$G$19,Schwierigkeitsstufen!$H$7:$H$19)))</f>
        <v/>
      </c>
      <c r="AC317" s="250" t="str">
        <f>IF((($A317="")*($B317=""))+((MID($Y317,1,4)&lt;&gt;"Wahl")*(Deckblatt!$C$14='WK-Vorlagen'!$C$82))+(Deckblatt!$C$14&lt;&gt;'WK-Vorlagen'!$C$82),"",IF(ISERROR(MATCH(VALUE(MID(I317,1,2)),Schwierigkeitsstufen!$G$7:$G$19,0)),"Gerät falsch",LOOKUP(VALUE(MID(I317,1,2)),Schwierigkeitsstufen!$G$7:$G$19,Schwierigkeitsstufen!$H$7:$H$19)))</f>
        <v/>
      </c>
      <c r="AD317" s="251" t="str">
        <f>IF((($A317="")*($B317=""))+((MID($Y317,1,4)&lt;&gt;"Wahl")*(Deckblatt!$C$14='WK-Vorlagen'!$C$82))+(Deckblatt!$C$14&lt;&gt;'WK-Vorlagen'!$C$82),"",IF(ISERROR(MATCH(VALUE(MID(J317,1,2)),Schwierigkeitsstufen!$G$7:$G$19,0)),"Gerät falsch",LOOKUP(VALUE(MID(J317,1,2)),Schwierigkeitsstufen!$G$7:$G$19,Schwierigkeitsstufen!$H$7:$H$19)))</f>
        <v/>
      </c>
      <c r="AE317" s="211"/>
      <c r="AG317" s="221" t="str">
        <f t="shared" si="36"/>
        <v/>
      </c>
      <c r="AH317" s="222" t="str">
        <f t="shared" si="38"/>
        <v/>
      </c>
      <c r="AI317" s="220">
        <f t="shared" si="43"/>
        <v>4</v>
      </c>
      <c r="AJ317" s="222">
        <f t="shared" si="39"/>
        <v>0</v>
      </c>
      <c r="AK317" s="299" t="str">
        <f>IF(ISERROR(LOOKUP(E317,WKNrListe,Übersicht!$R$7:$R$46)),"-",LOOKUP(E317,WKNrListe,Übersicht!$R$7:$R$46))</f>
        <v>-</v>
      </c>
      <c r="AL317" s="299" t="str">
        <f t="shared" si="42"/>
        <v>-</v>
      </c>
      <c r="AM317" s="303"/>
      <c r="AN317" s="174" t="str">
        <f t="shared" si="44"/>
        <v>Leer</v>
      </c>
    </row>
    <row r="318" spans="1:40" s="174" customFormat="1" ht="15" customHeight="1">
      <c r="A318" s="63"/>
      <c r="B318" s="63"/>
      <c r="C318" s="84"/>
      <c r="D318" s="85"/>
      <c r="E318" s="62"/>
      <c r="F318" s="62"/>
      <c r="G318" s="62"/>
      <c r="H318" s="62"/>
      <c r="I318" s="62"/>
      <c r="J318" s="62"/>
      <c r="K318" s="62"/>
      <c r="L318" s="62"/>
      <c r="M318" s="62"/>
      <c r="N318" s="62"/>
      <c r="O318" s="62"/>
      <c r="P318" s="62"/>
      <c r="Q318" s="62"/>
      <c r="R318" s="62"/>
      <c r="S318" s="258"/>
      <c r="T318" s="248" t="str">
        <f t="shared" si="40"/>
        <v/>
      </c>
      <c r="U318" s="249" t="str">
        <f t="shared" si="41"/>
        <v/>
      </c>
      <c r="V318" s="294" t="str">
        <f t="shared" si="37"/>
        <v/>
      </c>
      <c r="W318" s="294" t="str">
        <f>IF(((E318="")+(F318="")),"",IF(VLOOKUP(F318,Mannschaften!$A$1:$B$54,2,FALSE)&lt;&gt;E318,"Reiter Mannschaften füllen",""))</f>
        <v/>
      </c>
      <c r="X318" s="248" t="str">
        <f>IF(ISBLANK(C318),"",IF((U318&gt;(LOOKUP(E318,WKNrListe,Übersicht!$O$7:$O$46)))+(U318&lt;(LOOKUP(E318,WKNrListe,Übersicht!$P$7:$P$46))),"JG falsch",""))</f>
        <v/>
      </c>
      <c r="Y318" s="255" t="str">
        <f>IF((A318="")*(B318=""),"",IF(ISERROR(MATCH(E318,WKNrListe,0)),"WK falsch",LOOKUP(E318,WKNrListe,Übersicht!$B$7:$B$46)))</f>
        <v/>
      </c>
      <c r="Z318" s="269" t="str">
        <f>IF(((AJ318=0)*(AH318&lt;&gt;"")*(AK318="-"))+((AJ318&lt;&gt;0)*(AH318&lt;&gt;"")*(AK318="-")),IF(AG318="X",Übersicht!$C$70,Übersicht!$C$69),"-")</f>
        <v>-</v>
      </c>
      <c r="AA318" s="252" t="str">
        <f>IF((($A318="")*($B318=""))+((MID($Y318,1,4)&lt;&gt;"Wahl")*(Deckblatt!$C$14='WK-Vorlagen'!$C$82))+(Deckblatt!$C$14&lt;&gt;'WK-Vorlagen'!$C$82),"",IF(ISERROR(MATCH(VALUE(MID(G318,1,2)),Schwierigkeitsstufen!$G$7:$G$19,0)),"Gerät falsch",LOOKUP(VALUE(MID(G318,1,2)),Schwierigkeitsstufen!$G$7:$G$19,Schwierigkeitsstufen!$H$7:$H$19)))</f>
        <v/>
      </c>
      <c r="AB318" s="250" t="str">
        <f>IF((($A318="")*($B318=""))+((MID($Y318,1,4)&lt;&gt;"Wahl")*(Deckblatt!$C$14='WK-Vorlagen'!$C$82))+(Deckblatt!$C$14&lt;&gt;'WK-Vorlagen'!$C$82),"",IF(ISERROR(MATCH(VALUE(MID(H318,1,2)),Schwierigkeitsstufen!$G$7:$G$19,0)),"Gerät falsch",LOOKUP(VALUE(MID(H318,1,2)),Schwierigkeitsstufen!$G$7:$G$19,Schwierigkeitsstufen!$H$7:$H$19)))</f>
        <v/>
      </c>
      <c r="AC318" s="250" t="str">
        <f>IF((($A318="")*($B318=""))+((MID($Y318,1,4)&lt;&gt;"Wahl")*(Deckblatt!$C$14='WK-Vorlagen'!$C$82))+(Deckblatt!$C$14&lt;&gt;'WK-Vorlagen'!$C$82),"",IF(ISERROR(MATCH(VALUE(MID(I318,1,2)),Schwierigkeitsstufen!$G$7:$G$19,0)),"Gerät falsch",LOOKUP(VALUE(MID(I318,1,2)),Schwierigkeitsstufen!$G$7:$G$19,Schwierigkeitsstufen!$H$7:$H$19)))</f>
        <v/>
      </c>
      <c r="AD318" s="251" t="str">
        <f>IF((($A318="")*($B318=""))+((MID($Y318,1,4)&lt;&gt;"Wahl")*(Deckblatt!$C$14='WK-Vorlagen'!$C$82))+(Deckblatt!$C$14&lt;&gt;'WK-Vorlagen'!$C$82),"",IF(ISERROR(MATCH(VALUE(MID(J318,1,2)),Schwierigkeitsstufen!$G$7:$G$19,0)),"Gerät falsch",LOOKUP(VALUE(MID(J318,1,2)),Schwierigkeitsstufen!$G$7:$G$19,Schwierigkeitsstufen!$H$7:$H$19)))</f>
        <v/>
      </c>
      <c r="AE318" s="211"/>
      <c r="AG318" s="221" t="str">
        <f t="shared" si="36"/>
        <v/>
      </c>
      <c r="AH318" s="222" t="str">
        <f t="shared" si="38"/>
        <v/>
      </c>
      <c r="AI318" s="220">
        <f t="shared" si="43"/>
        <v>4</v>
      </c>
      <c r="AJ318" s="222">
        <f t="shared" si="39"/>
        <v>0</v>
      </c>
      <c r="AK318" s="299" t="str">
        <f>IF(ISERROR(LOOKUP(E318,WKNrListe,Übersicht!$R$7:$R$46)),"-",LOOKUP(E318,WKNrListe,Übersicht!$R$7:$R$46))</f>
        <v>-</v>
      </c>
      <c r="AL318" s="299" t="str">
        <f t="shared" si="42"/>
        <v>-</v>
      </c>
      <c r="AM318" s="303"/>
      <c r="AN318" s="174" t="str">
        <f t="shared" si="44"/>
        <v>Leer</v>
      </c>
    </row>
    <row r="319" spans="1:40" s="174" customFormat="1" ht="15" customHeight="1">
      <c r="A319" s="63"/>
      <c r="B319" s="63"/>
      <c r="C319" s="84"/>
      <c r="D319" s="85"/>
      <c r="E319" s="62"/>
      <c r="F319" s="62"/>
      <c r="G319" s="62"/>
      <c r="H319" s="62"/>
      <c r="I319" s="62"/>
      <c r="J319" s="62"/>
      <c r="K319" s="62"/>
      <c r="L319" s="62"/>
      <c r="M319" s="62"/>
      <c r="N319" s="62"/>
      <c r="O319" s="62"/>
      <c r="P319" s="62"/>
      <c r="Q319" s="62"/>
      <c r="R319" s="62"/>
      <c r="S319" s="258"/>
      <c r="T319" s="248" t="str">
        <f t="shared" si="40"/>
        <v/>
      </c>
      <c r="U319" s="249" t="str">
        <f t="shared" si="41"/>
        <v/>
      </c>
      <c r="V319" s="294" t="str">
        <f t="shared" si="37"/>
        <v/>
      </c>
      <c r="W319" s="294" t="str">
        <f>IF(((E319="")+(F319="")),"",IF(VLOOKUP(F319,Mannschaften!$A$1:$B$54,2,FALSE)&lt;&gt;E319,"Reiter Mannschaften füllen",""))</f>
        <v/>
      </c>
      <c r="X319" s="248" t="str">
        <f>IF(ISBLANK(C319),"",IF((U319&gt;(LOOKUP(E319,WKNrListe,Übersicht!$O$7:$O$46)))+(U319&lt;(LOOKUP(E319,WKNrListe,Übersicht!$P$7:$P$46))),"JG falsch",""))</f>
        <v/>
      </c>
      <c r="Y319" s="255" t="str">
        <f>IF((A319="")*(B319=""),"",IF(ISERROR(MATCH(E319,WKNrListe,0)),"WK falsch",LOOKUP(E319,WKNrListe,Übersicht!$B$7:$B$46)))</f>
        <v/>
      </c>
      <c r="Z319" s="269" t="str">
        <f>IF(((AJ319=0)*(AH319&lt;&gt;"")*(AK319="-"))+((AJ319&lt;&gt;0)*(AH319&lt;&gt;"")*(AK319="-")),IF(AG319="X",Übersicht!$C$70,Übersicht!$C$69),"-")</f>
        <v>-</v>
      </c>
      <c r="AA319" s="252" t="str">
        <f>IF((($A319="")*($B319=""))+((MID($Y319,1,4)&lt;&gt;"Wahl")*(Deckblatt!$C$14='WK-Vorlagen'!$C$82))+(Deckblatt!$C$14&lt;&gt;'WK-Vorlagen'!$C$82),"",IF(ISERROR(MATCH(VALUE(MID(G319,1,2)),Schwierigkeitsstufen!$G$7:$G$19,0)),"Gerät falsch",LOOKUP(VALUE(MID(G319,1,2)),Schwierigkeitsstufen!$G$7:$G$19,Schwierigkeitsstufen!$H$7:$H$19)))</f>
        <v/>
      </c>
      <c r="AB319" s="250" t="str">
        <f>IF((($A319="")*($B319=""))+((MID($Y319,1,4)&lt;&gt;"Wahl")*(Deckblatt!$C$14='WK-Vorlagen'!$C$82))+(Deckblatt!$C$14&lt;&gt;'WK-Vorlagen'!$C$82),"",IF(ISERROR(MATCH(VALUE(MID(H319,1,2)),Schwierigkeitsstufen!$G$7:$G$19,0)),"Gerät falsch",LOOKUP(VALUE(MID(H319,1,2)),Schwierigkeitsstufen!$G$7:$G$19,Schwierigkeitsstufen!$H$7:$H$19)))</f>
        <v/>
      </c>
      <c r="AC319" s="250" t="str">
        <f>IF((($A319="")*($B319=""))+((MID($Y319,1,4)&lt;&gt;"Wahl")*(Deckblatt!$C$14='WK-Vorlagen'!$C$82))+(Deckblatt!$C$14&lt;&gt;'WK-Vorlagen'!$C$82),"",IF(ISERROR(MATCH(VALUE(MID(I319,1,2)),Schwierigkeitsstufen!$G$7:$G$19,0)),"Gerät falsch",LOOKUP(VALUE(MID(I319,1,2)),Schwierigkeitsstufen!$G$7:$G$19,Schwierigkeitsstufen!$H$7:$H$19)))</f>
        <v/>
      </c>
      <c r="AD319" s="251" t="str">
        <f>IF((($A319="")*($B319=""))+((MID($Y319,1,4)&lt;&gt;"Wahl")*(Deckblatt!$C$14='WK-Vorlagen'!$C$82))+(Deckblatt!$C$14&lt;&gt;'WK-Vorlagen'!$C$82),"",IF(ISERROR(MATCH(VALUE(MID(J319,1,2)),Schwierigkeitsstufen!$G$7:$G$19,0)),"Gerät falsch",LOOKUP(VALUE(MID(J319,1,2)),Schwierigkeitsstufen!$G$7:$G$19,Schwierigkeitsstufen!$H$7:$H$19)))</f>
        <v/>
      </c>
      <c r="AE319" s="211"/>
      <c r="AG319" s="221" t="str">
        <f t="shared" si="36"/>
        <v/>
      </c>
      <c r="AH319" s="222" t="str">
        <f t="shared" si="38"/>
        <v/>
      </c>
      <c r="AI319" s="220">
        <f t="shared" si="43"/>
        <v>4</v>
      </c>
      <c r="AJ319" s="222">
        <f t="shared" si="39"/>
        <v>0</v>
      </c>
      <c r="AK319" s="299" t="str">
        <f>IF(ISERROR(LOOKUP(E319,WKNrListe,Übersicht!$R$7:$R$46)),"-",LOOKUP(E319,WKNrListe,Übersicht!$R$7:$R$46))</f>
        <v>-</v>
      </c>
      <c r="AL319" s="299" t="str">
        <f t="shared" si="42"/>
        <v>-</v>
      </c>
      <c r="AM319" s="303"/>
      <c r="AN319" s="174" t="str">
        <f t="shared" si="44"/>
        <v>Leer</v>
      </c>
    </row>
    <row r="320" spans="1:40" s="174" customFormat="1" ht="15" customHeight="1">
      <c r="A320" s="63"/>
      <c r="B320" s="63"/>
      <c r="C320" s="84"/>
      <c r="D320" s="85"/>
      <c r="E320" s="62"/>
      <c r="F320" s="62"/>
      <c r="G320" s="62"/>
      <c r="H320" s="62"/>
      <c r="I320" s="62"/>
      <c r="J320" s="62"/>
      <c r="K320" s="62"/>
      <c r="L320" s="62"/>
      <c r="M320" s="62"/>
      <c r="N320" s="62"/>
      <c r="O320" s="62"/>
      <c r="P320" s="62"/>
      <c r="Q320" s="62"/>
      <c r="R320" s="62"/>
      <c r="S320" s="258"/>
      <c r="T320" s="248" t="str">
        <f t="shared" si="40"/>
        <v/>
      </c>
      <c r="U320" s="249" t="str">
        <f t="shared" si="41"/>
        <v/>
      </c>
      <c r="V320" s="294" t="str">
        <f t="shared" si="37"/>
        <v/>
      </c>
      <c r="W320" s="294" t="str">
        <f>IF(((E320="")+(F320="")),"",IF(VLOOKUP(F320,Mannschaften!$A$1:$B$54,2,FALSE)&lt;&gt;E320,"Reiter Mannschaften füllen",""))</f>
        <v/>
      </c>
      <c r="X320" s="248" t="str">
        <f>IF(ISBLANK(C320),"",IF((U320&gt;(LOOKUP(E320,WKNrListe,Übersicht!$O$7:$O$46)))+(U320&lt;(LOOKUP(E320,WKNrListe,Übersicht!$P$7:$P$46))),"JG falsch",""))</f>
        <v/>
      </c>
      <c r="Y320" s="255" t="str">
        <f>IF((A320="")*(B320=""),"",IF(ISERROR(MATCH(E320,WKNrListe,0)),"WK falsch",LOOKUP(E320,WKNrListe,Übersicht!$B$7:$B$46)))</f>
        <v/>
      </c>
      <c r="Z320" s="269" t="str">
        <f>IF(((AJ320=0)*(AH320&lt;&gt;"")*(AK320="-"))+((AJ320&lt;&gt;0)*(AH320&lt;&gt;"")*(AK320="-")),IF(AG320="X",Übersicht!$C$70,Übersicht!$C$69),"-")</f>
        <v>-</v>
      </c>
      <c r="AA320" s="252" t="str">
        <f>IF((($A320="")*($B320=""))+((MID($Y320,1,4)&lt;&gt;"Wahl")*(Deckblatt!$C$14='WK-Vorlagen'!$C$82))+(Deckblatt!$C$14&lt;&gt;'WK-Vorlagen'!$C$82),"",IF(ISERROR(MATCH(VALUE(MID(G320,1,2)),Schwierigkeitsstufen!$G$7:$G$19,0)),"Gerät falsch",LOOKUP(VALUE(MID(G320,1,2)),Schwierigkeitsstufen!$G$7:$G$19,Schwierigkeitsstufen!$H$7:$H$19)))</f>
        <v/>
      </c>
      <c r="AB320" s="250" t="str">
        <f>IF((($A320="")*($B320=""))+((MID($Y320,1,4)&lt;&gt;"Wahl")*(Deckblatt!$C$14='WK-Vorlagen'!$C$82))+(Deckblatt!$C$14&lt;&gt;'WK-Vorlagen'!$C$82),"",IF(ISERROR(MATCH(VALUE(MID(H320,1,2)),Schwierigkeitsstufen!$G$7:$G$19,0)),"Gerät falsch",LOOKUP(VALUE(MID(H320,1,2)),Schwierigkeitsstufen!$G$7:$G$19,Schwierigkeitsstufen!$H$7:$H$19)))</f>
        <v/>
      </c>
      <c r="AC320" s="250" t="str">
        <f>IF((($A320="")*($B320=""))+((MID($Y320,1,4)&lt;&gt;"Wahl")*(Deckblatt!$C$14='WK-Vorlagen'!$C$82))+(Deckblatt!$C$14&lt;&gt;'WK-Vorlagen'!$C$82),"",IF(ISERROR(MATCH(VALUE(MID(I320,1,2)),Schwierigkeitsstufen!$G$7:$G$19,0)),"Gerät falsch",LOOKUP(VALUE(MID(I320,1,2)),Schwierigkeitsstufen!$G$7:$G$19,Schwierigkeitsstufen!$H$7:$H$19)))</f>
        <v/>
      </c>
      <c r="AD320" s="251" t="str">
        <f>IF((($A320="")*($B320=""))+((MID($Y320,1,4)&lt;&gt;"Wahl")*(Deckblatt!$C$14='WK-Vorlagen'!$C$82))+(Deckblatt!$C$14&lt;&gt;'WK-Vorlagen'!$C$82),"",IF(ISERROR(MATCH(VALUE(MID(J320,1,2)),Schwierigkeitsstufen!$G$7:$G$19,0)),"Gerät falsch",LOOKUP(VALUE(MID(J320,1,2)),Schwierigkeitsstufen!$G$7:$G$19,Schwierigkeitsstufen!$H$7:$H$19)))</f>
        <v/>
      </c>
      <c r="AE320" s="211"/>
      <c r="AG320" s="221" t="str">
        <f t="shared" si="36"/>
        <v/>
      </c>
      <c r="AH320" s="222" t="str">
        <f t="shared" si="38"/>
        <v/>
      </c>
      <c r="AI320" s="220">
        <f t="shared" si="43"/>
        <v>4</v>
      </c>
      <c r="AJ320" s="222">
        <f t="shared" si="39"/>
        <v>0</v>
      </c>
      <c r="AK320" s="299" t="str">
        <f>IF(ISERROR(LOOKUP(E320,WKNrListe,Übersicht!$R$7:$R$46)),"-",LOOKUP(E320,WKNrListe,Übersicht!$R$7:$R$46))</f>
        <v>-</v>
      </c>
      <c r="AL320" s="299" t="str">
        <f t="shared" si="42"/>
        <v>-</v>
      </c>
      <c r="AM320" s="303"/>
      <c r="AN320" s="174" t="str">
        <f t="shared" si="44"/>
        <v>Leer</v>
      </c>
    </row>
    <row r="321" spans="1:40" s="174" customFormat="1" ht="15" customHeight="1">
      <c r="A321" s="63"/>
      <c r="B321" s="63"/>
      <c r="C321" s="84"/>
      <c r="D321" s="85"/>
      <c r="E321" s="62"/>
      <c r="F321" s="62"/>
      <c r="G321" s="62"/>
      <c r="H321" s="62"/>
      <c r="I321" s="62"/>
      <c r="J321" s="62"/>
      <c r="K321" s="62"/>
      <c r="L321" s="62"/>
      <c r="M321" s="62"/>
      <c r="N321" s="62"/>
      <c r="O321" s="62"/>
      <c r="P321" s="62"/>
      <c r="Q321" s="62"/>
      <c r="R321" s="62"/>
      <c r="S321" s="258"/>
      <c r="T321" s="248" t="str">
        <f t="shared" si="40"/>
        <v/>
      </c>
      <c r="U321" s="249" t="str">
        <f t="shared" si="41"/>
        <v/>
      </c>
      <c r="V321" s="294" t="str">
        <f t="shared" si="37"/>
        <v/>
      </c>
      <c r="W321" s="294" t="str">
        <f>IF(((E321="")+(F321="")),"",IF(VLOOKUP(F321,Mannschaften!$A$1:$B$54,2,FALSE)&lt;&gt;E321,"Reiter Mannschaften füllen",""))</f>
        <v/>
      </c>
      <c r="X321" s="248" t="str">
        <f>IF(ISBLANK(C321),"",IF((U321&gt;(LOOKUP(E321,WKNrListe,Übersicht!$O$7:$O$46)))+(U321&lt;(LOOKUP(E321,WKNrListe,Übersicht!$P$7:$P$46))),"JG falsch",""))</f>
        <v/>
      </c>
      <c r="Y321" s="255" t="str">
        <f>IF((A321="")*(B321=""),"",IF(ISERROR(MATCH(E321,WKNrListe,0)),"WK falsch",LOOKUP(E321,WKNrListe,Übersicht!$B$7:$B$46)))</f>
        <v/>
      </c>
      <c r="Z321" s="269" t="str">
        <f>IF(((AJ321=0)*(AH321&lt;&gt;"")*(AK321="-"))+((AJ321&lt;&gt;0)*(AH321&lt;&gt;"")*(AK321="-")),IF(AG321="X",Übersicht!$C$70,Übersicht!$C$69),"-")</f>
        <v>-</v>
      </c>
      <c r="AA321" s="252" t="str">
        <f>IF((($A321="")*($B321=""))+((MID($Y321,1,4)&lt;&gt;"Wahl")*(Deckblatt!$C$14='WK-Vorlagen'!$C$82))+(Deckblatt!$C$14&lt;&gt;'WK-Vorlagen'!$C$82),"",IF(ISERROR(MATCH(VALUE(MID(G321,1,2)),Schwierigkeitsstufen!$G$7:$G$19,0)),"Gerät falsch",LOOKUP(VALUE(MID(G321,1,2)),Schwierigkeitsstufen!$G$7:$G$19,Schwierigkeitsstufen!$H$7:$H$19)))</f>
        <v/>
      </c>
      <c r="AB321" s="250" t="str">
        <f>IF((($A321="")*($B321=""))+((MID($Y321,1,4)&lt;&gt;"Wahl")*(Deckblatt!$C$14='WK-Vorlagen'!$C$82))+(Deckblatt!$C$14&lt;&gt;'WK-Vorlagen'!$C$82),"",IF(ISERROR(MATCH(VALUE(MID(H321,1,2)),Schwierigkeitsstufen!$G$7:$G$19,0)),"Gerät falsch",LOOKUP(VALUE(MID(H321,1,2)),Schwierigkeitsstufen!$G$7:$G$19,Schwierigkeitsstufen!$H$7:$H$19)))</f>
        <v/>
      </c>
      <c r="AC321" s="250" t="str">
        <f>IF((($A321="")*($B321=""))+((MID($Y321,1,4)&lt;&gt;"Wahl")*(Deckblatt!$C$14='WK-Vorlagen'!$C$82))+(Deckblatt!$C$14&lt;&gt;'WK-Vorlagen'!$C$82),"",IF(ISERROR(MATCH(VALUE(MID(I321,1,2)),Schwierigkeitsstufen!$G$7:$G$19,0)),"Gerät falsch",LOOKUP(VALUE(MID(I321,1,2)),Schwierigkeitsstufen!$G$7:$G$19,Schwierigkeitsstufen!$H$7:$H$19)))</f>
        <v/>
      </c>
      <c r="AD321" s="251" t="str">
        <f>IF((($A321="")*($B321=""))+((MID($Y321,1,4)&lt;&gt;"Wahl")*(Deckblatt!$C$14='WK-Vorlagen'!$C$82))+(Deckblatt!$C$14&lt;&gt;'WK-Vorlagen'!$C$82),"",IF(ISERROR(MATCH(VALUE(MID(J321,1,2)),Schwierigkeitsstufen!$G$7:$G$19,0)),"Gerät falsch",LOOKUP(VALUE(MID(J321,1,2)),Schwierigkeitsstufen!$G$7:$G$19,Schwierigkeitsstufen!$H$7:$H$19)))</f>
        <v/>
      </c>
      <c r="AE321" s="211"/>
      <c r="AG321" s="221" t="str">
        <f t="shared" si="36"/>
        <v/>
      </c>
      <c r="AH321" s="222" t="str">
        <f t="shared" si="38"/>
        <v/>
      </c>
      <c r="AI321" s="220">
        <f t="shared" si="43"/>
        <v>4</v>
      </c>
      <c r="AJ321" s="222">
        <f t="shared" si="39"/>
        <v>0</v>
      </c>
      <c r="AK321" s="299" t="str">
        <f>IF(ISERROR(LOOKUP(E321,WKNrListe,Übersicht!$R$7:$R$46)),"-",LOOKUP(E321,WKNrListe,Übersicht!$R$7:$R$46))</f>
        <v>-</v>
      </c>
      <c r="AL321" s="299" t="str">
        <f t="shared" si="42"/>
        <v>-</v>
      </c>
      <c r="AM321" s="303"/>
      <c r="AN321" s="174" t="str">
        <f t="shared" si="44"/>
        <v>Leer</v>
      </c>
    </row>
    <row r="322" spans="1:40" s="174" customFormat="1" ht="15" customHeight="1">
      <c r="A322" s="63"/>
      <c r="B322" s="63"/>
      <c r="C322" s="84"/>
      <c r="D322" s="85"/>
      <c r="E322" s="62"/>
      <c r="F322" s="62"/>
      <c r="G322" s="62"/>
      <c r="H322" s="62"/>
      <c r="I322" s="62"/>
      <c r="J322" s="62"/>
      <c r="K322" s="62"/>
      <c r="L322" s="62"/>
      <c r="M322" s="62"/>
      <c r="N322" s="62"/>
      <c r="O322" s="62"/>
      <c r="P322" s="62"/>
      <c r="Q322" s="62"/>
      <c r="R322" s="62"/>
      <c r="S322" s="258"/>
      <c r="T322" s="248" t="str">
        <f t="shared" si="40"/>
        <v/>
      </c>
      <c r="U322" s="249" t="str">
        <f t="shared" si="41"/>
        <v/>
      </c>
      <c r="V322" s="294" t="str">
        <f t="shared" si="37"/>
        <v/>
      </c>
      <c r="W322" s="294" t="str">
        <f>IF(((E322="")+(F322="")),"",IF(VLOOKUP(F322,Mannschaften!$A$1:$B$54,2,FALSE)&lt;&gt;E322,"Reiter Mannschaften füllen",""))</f>
        <v/>
      </c>
      <c r="X322" s="248" t="str">
        <f>IF(ISBLANK(C322),"",IF((U322&gt;(LOOKUP(E322,WKNrListe,Übersicht!$O$7:$O$46)))+(U322&lt;(LOOKUP(E322,WKNrListe,Übersicht!$P$7:$P$46))),"JG falsch",""))</f>
        <v/>
      </c>
      <c r="Y322" s="255" t="str">
        <f>IF((A322="")*(B322=""),"",IF(ISERROR(MATCH(E322,WKNrListe,0)),"WK falsch",LOOKUP(E322,WKNrListe,Übersicht!$B$7:$B$46)))</f>
        <v/>
      </c>
      <c r="Z322" s="269" t="str">
        <f>IF(((AJ322=0)*(AH322&lt;&gt;"")*(AK322="-"))+((AJ322&lt;&gt;0)*(AH322&lt;&gt;"")*(AK322="-")),IF(AG322="X",Übersicht!$C$70,Übersicht!$C$69),"-")</f>
        <v>-</v>
      </c>
      <c r="AA322" s="252" t="str">
        <f>IF((($A322="")*($B322=""))+((MID($Y322,1,4)&lt;&gt;"Wahl")*(Deckblatt!$C$14='WK-Vorlagen'!$C$82))+(Deckblatt!$C$14&lt;&gt;'WK-Vorlagen'!$C$82),"",IF(ISERROR(MATCH(VALUE(MID(G322,1,2)),Schwierigkeitsstufen!$G$7:$G$19,0)),"Gerät falsch",LOOKUP(VALUE(MID(G322,1,2)),Schwierigkeitsstufen!$G$7:$G$19,Schwierigkeitsstufen!$H$7:$H$19)))</f>
        <v/>
      </c>
      <c r="AB322" s="250" t="str">
        <f>IF((($A322="")*($B322=""))+((MID($Y322,1,4)&lt;&gt;"Wahl")*(Deckblatt!$C$14='WK-Vorlagen'!$C$82))+(Deckblatt!$C$14&lt;&gt;'WK-Vorlagen'!$C$82),"",IF(ISERROR(MATCH(VALUE(MID(H322,1,2)),Schwierigkeitsstufen!$G$7:$G$19,0)),"Gerät falsch",LOOKUP(VALUE(MID(H322,1,2)),Schwierigkeitsstufen!$G$7:$G$19,Schwierigkeitsstufen!$H$7:$H$19)))</f>
        <v/>
      </c>
      <c r="AC322" s="250" t="str">
        <f>IF((($A322="")*($B322=""))+((MID($Y322,1,4)&lt;&gt;"Wahl")*(Deckblatt!$C$14='WK-Vorlagen'!$C$82))+(Deckblatt!$C$14&lt;&gt;'WK-Vorlagen'!$C$82),"",IF(ISERROR(MATCH(VALUE(MID(I322,1,2)),Schwierigkeitsstufen!$G$7:$G$19,0)),"Gerät falsch",LOOKUP(VALUE(MID(I322,1,2)),Schwierigkeitsstufen!$G$7:$G$19,Schwierigkeitsstufen!$H$7:$H$19)))</f>
        <v/>
      </c>
      <c r="AD322" s="251" t="str">
        <f>IF((($A322="")*($B322=""))+((MID($Y322,1,4)&lt;&gt;"Wahl")*(Deckblatt!$C$14='WK-Vorlagen'!$C$82))+(Deckblatt!$C$14&lt;&gt;'WK-Vorlagen'!$C$82),"",IF(ISERROR(MATCH(VALUE(MID(J322,1,2)),Schwierigkeitsstufen!$G$7:$G$19,0)),"Gerät falsch",LOOKUP(VALUE(MID(J322,1,2)),Schwierigkeitsstufen!$G$7:$G$19,Schwierigkeitsstufen!$H$7:$H$19)))</f>
        <v/>
      </c>
      <c r="AE322" s="211"/>
      <c r="AG322" s="221" t="str">
        <f t="shared" si="36"/>
        <v/>
      </c>
      <c r="AH322" s="222" t="str">
        <f t="shared" si="38"/>
        <v/>
      </c>
      <c r="AI322" s="220">
        <f t="shared" si="43"/>
        <v>4</v>
      </c>
      <c r="AJ322" s="222">
        <f t="shared" si="39"/>
        <v>0</v>
      </c>
      <c r="AK322" s="299" t="str">
        <f>IF(ISERROR(LOOKUP(E322,WKNrListe,Übersicht!$R$7:$R$46)),"-",LOOKUP(E322,WKNrListe,Übersicht!$R$7:$R$46))</f>
        <v>-</v>
      </c>
      <c r="AL322" s="299" t="str">
        <f t="shared" si="42"/>
        <v>-</v>
      </c>
      <c r="AM322" s="303"/>
      <c r="AN322" s="174" t="str">
        <f t="shared" si="44"/>
        <v>Leer</v>
      </c>
    </row>
    <row r="323" spans="1:40" s="174" customFormat="1" ht="15" customHeight="1">
      <c r="A323" s="63"/>
      <c r="B323" s="63"/>
      <c r="C323" s="84"/>
      <c r="D323" s="85"/>
      <c r="E323" s="62"/>
      <c r="F323" s="62"/>
      <c r="G323" s="62"/>
      <c r="H323" s="62"/>
      <c r="I323" s="62"/>
      <c r="J323" s="62"/>
      <c r="K323" s="62"/>
      <c r="L323" s="62"/>
      <c r="M323" s="62"/>
      <c r="N323" s="62"/>
      <c r="O323" s="62"/>
      <c r="P323" s="62"/>
      <c r="Q323" s="62"/>
      <c r="R323" s="62"/>
      <c r="S323" s="258"/>
      <c r="T323" s="248" t="str">
        <f t="shared" si="40"/>
        <v/>
      </c>
      <c r="U323" s="249" t="str">
        <f t="shared" si="41"/>
        <v/>
      </c>
      <c r="V323" s="294" t="str">
        <f t="shared" si="37"/>
        <v/>
      </c>
      <c r="W323" s="294" t="str">
        <f>IF(((E323="")+(F323="")),"",IF(VLOOKUP(F323,Mannschaften!$A$1:$B$54,2,FALSE)&lt;&gt;E323,"Reiter Mannschaften füllen",""))</f>
        <v/>
      </c>
      <c r="X323" s="248" t="str">
        <f>IF(ISBLANK(C323),"",IF((U323&gt;(LOOKUP(E323,WKNrListe,Übersicht!$O$7:$O$46)))+(U323&lt;(LOOKUP(E323,WKNrListe,Übersicht!$P$7:$P$46))),"JG falsch",""))</f>
        <v/>
      </c>
      <c r="Y323" s="255" t="str">
        <f>IF((A323="")*(B323=""),"",IF(ISERROR(MATCH(E323,WKNrListe,0)),"WK falsch",LOOKUP(E323,WKNrListe,Übersicht!$B$7:$B$46)))</f>
        <v/>
      </c>
      <c r="Z323" s="269" t="str">
        <f>IF(((AJ323=0)*(AH323&lt;&gt;"")*(AK323="-"))+((AJ323&lt;&gt;0)*(AH323&lt;&gt;"")*(AK323="-")),IF(AG323="X",Übersicht!$C$70,Übersicht!$C$69),"-")</f>
        <v>-</v>
      </c>
      <c r="AA323" s="252" t="str">
        <f>IF((($A323="")*($B323=""))+((MID($Y323,1,4)&lt;&gt;"Wahl")*(Deckblatt!$C$14='WK-Vorlagen'!$C$82))+(Deckblatt!$C$14&lt;&gt;'WK-Vorlagen'!$C$82),"",IF(ISERROR(MATCH(VALUE(MID(G323,1,2)),Schwierigkeitsstufen!$G$7:$G$19,0)),"Gerät falsch",LOOKUP(VALUE(MID(G323,1,2)),Schwierigkeitsstufen!$G$7:$G$19,Schwierigkeitsstufen!$H$7:$H$19)))</f>
        <v/>
      </c>
      <c r="AB323" s="250" t="str">
        <f>IF((($A323="")*($B323=""))+((MID($Y323,1,4)&lt;&gt;"Wahl")*(Deckblatt!$C$14='WK-Vorlagen'!$C$82))+(Deckblatt!$C$14&lt;&gt;'WK-Vorlagen'!$C$82),"",IF(ISERROR(MATCH(VALUE(MID(H323,1,2)),Schwierigkeitsstufen!$G$7:$G$19,0)),"Gerät falsch",LOOKUP(VALUE(MID(H323,1,2)),Schwierigkeitsstufen!$G$7:$G$19,Schwierigkeitsstufen!$H$7:$H$19)))</f>
        <v/>
      </c>
      <c r="AC323" s="250" t="str">
        <f>IF((($A323="")*($B323=""))+((MID($Y323,1,4)&lt;&gt;"Wahl")*(Deckblatt!$C$14='WK-Vorlagen'!$C$82))+(Deckblatt!$C$14&lt;&gt;'WK-Vorlagen'!$C$82),"",IF(ISERROR(MATCH(VALUE(MID(I323,1,2)),Schwierigkeitsstufen!$G$7:$G$19,0)),"Gerät falsch",LOOKUP(VALUE(MID(I323,1,2)),Schwierigkeitsstufen!$G$7:$G$19,Schwierigkeitsstufen!$H$7:$H$19)))</f>
        <v/>
      </c>
      <c r="AD323" s="251" t="str">
        <f>IF((($A323="")*($B323=""))+((MID($Y323,1,4)&lt;&gt;"Wahl")*(Deckblatt!$C$14='WK-Vorlagen'!$C$82))+(Deckblatt!$C$14&lt;&gt;'WK-Vorlagen'!$C$82),"",IF(ISERROR(MATCH(VALUE(MID(J323,1,2)),Schwierigkeitsstufen!$G$7:$G$19,0)),"Gerät falsch",LOOKUP(VALUE(MID(J323,1,2)),Schwierigkeitsstufen!$G$7:$G$19,Schwierigkeitsstufen!$H$7:$H$19)))</f>
        <v/>
      </c>
      <c r="AE323" s="211"/>
      <c r="AG323" s="221" t="str">
        <f t="shared" si="36"/>
        <v/>
      </c>
      <c r="AH323" s="222" t="str">
        <f t="shared" si="38"/>
        <v/>
      </c>
      <c r="AI323" s="220">
        <f t="shared" si="43"/>
        <v>4</v>
      </c>
      <c r="AJ323" s="222">
        <f t="shared" si="39"/>
        <v>0</v>
      </c>
      <c r="AK323" s="299" t="str">
        <f>IF(ISERROR(LOOKUP(E323,WKNrListe,Übersicht!$R$7:$R$46)),"-",LOOKUP(E323,WKNrListe,Übersicht!$R$7:$R$46))</f>
        <v>-</v>
      </c>
      <c r="AL323" s="299" t="str">
        <f t="shared" si="42"/>
        <v>-</v>
      </c>
      <c r="AM323" s="303"/>
      <c r="AN323" s="174" t="str">
        <f t="shared" si="44"/>
        <v>Leer</v>
      </c>
    </row>
    <row r="324" spans="1:40" s="174" customFormat="1" ht="15" customHeight="1">
      <c r="A324" s="63"/>
      <c r="B324" s="63"/>
      <c r="C324" s="84"/>
      <c r="D324" s="85"/>
      <c r="E324" s="62"/>
      <c r="F324" s="62"/>
      <c r="G324" s="62"/>
      <c r="H324" s="62"/>
      <c r="I324" s="62"/>
      <c r="J324" s="62"/>
      <c r="K324" s="62"/>
      <c r="L324" s="62"/>
      <c r="M324" s="62"/>
      <c r="N324" s="62"/>
      <c r="O324" s="62"/>
      <c r="P324" s="62"/>
      <c r="Q324" s="62"/>
      <c r="R324" s="62"/>
      <c r="S324" s="258"/>
      <c r="T324" s="248" t="str">
        <f t="shared" si="40"/>
        <v/>
      </c>
      <c r="U324" s="249" t="str">
        <f t="shared" si="41"/>
        <v/>
      </c>
      <c r="V324" s="294" t="str">
        <f t="shared" si="37"/>
        <v/>
      </c>
      <c r="W324" s="294" t="str">
        <f>IF(((E324="")+(F324="")),"",IF(VLOOKUP(F324,Mannschaften!$A$1:$B$54,2,FALSE)&lt;&gt;E324,"Reiter Mannschaften füllen",""))</f>
        <v/>
      </c>
      <c r="X324" s="248" t="str">
        <f>IF(ISBLANK(C324),"",IF((U324&gt;(LOOKUP(E324,WKNrListe,Übersicht!$O$7:$O$46)))+(U324&lt;(LOOKUP(E324,WKNrListe,Übersicht!$P$7:$P$46))),"JG falsch",""))</f>
        <v/>
      </c>
      <c r="Y324" s="255" t="str">
        <f>IF((A324="")*(B324=""),"",IF(ISERROR(MATCH(E324,WKNrListe,0)),"WK falsch",LOOKUP(E324,WKNrListe,Übersicht!$B$7:$B$46)))</f>
        <v/>
      </c>
      <c r="Z324" s="269" t="str">
        <f>IF(((AJ324=0)*(AH324&lt;&gt;"")*(AK324="-"))+((AJ324&lt;&gt;0)*(AH324&lt;&gt;"")*(AK324="-")),IF(AG324="X",Übersicht!$C$70,Übersicht!$C$69),"-")</f>
        <v>-</v>
      </c>
      <c r="AA324" s="252" t="str">
        <f>IF((($A324="")*($B324=""))+((MID($Y324,1,4)&lt;&gt;"Wahl")*(Deckblatt!$C$14='WK-Vorlagen'!$C$82))+(Deckblatt!$C$14&lt;&gt;'WK-Vorlagen'!$C$82),"",IF(ISERROR(MATCH(VALUE(MID(G324,1,2)),Schwierigkeitsstufen!$G$7:$G$19,0)),"Gerät falsch",LOOKUP(VALUE(MID(G324,1,2)),Schwierigkeitsstufen!$G$7:$G$19,Schwierigkeitsstufen!$H$7:$H$19)))</f>
        <v/>
      </c>
      <c r="AB324" s="250" t="str">
        <f>IF((($A324="")*($B324=""))+((MID($Y324,1,4)&lt;&gt;"Wahl")*(Deckblatt!$C$14='WK-Vorlagen'!$C$82))+(Deckblatt!$C$14&lt;&gt;'WK-Vorlagen'!$C$82),"",IF(ISERROR(MATCH(VALUE(MID(H324,1,2)),Schwierigkeitsstufen!$G$7:$G$19,0)),"Gerät falsch",LOOKUP(VALUE(MID(H324,1,2)),Schwierigkeitsstufen!$G$7:$G$19,Schwierigkeitsstufen!$H$7:$H$19)))</f>
        <v/>
      </c>
      <c r="AC324" s="250" t="str">
        <f>IF((($A324="")*($B324=""))+((MID($Y324,1,4)&lt;&gt;"Wahl")*(Deckblatt!$C$14='WK-Vorlagen'!$C$82))+(Deckblatt!$C$14&lt;&gt;'WK-Vorlagen'!$C$82),"",IF(ISERROR(MATCH(VALUE(MID(I324,1,2)),Schwierigkeitsstufen!$G$7:$G$19,0)),"Gerät falsch",LOOKUP(VALUE(MID(I324,1,2)),Schwierigkeitsstufen!$G$7:$G$19,Schwierigkeitsstufen!$H$7:$H$19)))</f>
        <v/>
      </c>
      <c r="AD324" s="251" t="str">
        <f>IF((($A324="")*($B324=""))+((MID($Y324,1,4)&lt;&gt;"Wahl")*(Deckblatt!$C$14='WK-Vorlagen'!$C$82))+(Deckblatt!$C$14&lt;&gt;'WK-Vorlagen'!$C$82),"",IF(ISERROR(MATCH(VALUE(MID(J324,1,2)),Schwierigkeitsstufen!$G$7:$G$19,0)),"Gerät falsch",LOOKUP(VALUE(MID(J324,1,2)),Schwierigkeitsstufen!$G$7:$G$19,Schwierigkeitsstufen!$H$7:$H$19)))</f>
        <v/>
      </c>
      <c r="AE324" s="211"/>
      <c r="AG324" s="221" t="str">
        <f t="shared" ref="AG324:AG387" si="45">IF((C324&lt;&gt;0),IF(((Jahr-U324)&gt;19)*(AJ324=0)*(AK324&lt;&gt;1),"X",IF(((Jahr-U324)&gt;19)*(AJ324=0),"J","-")),"")</f>
        <v/>
      </c>
      <c r="AH324" s="222" t="str">
        <f t="shared" si="38"/>
        <v/>
      </c>
      <c r="AI324" s="220">
        <f t="shared" si="43"/>
        <v>4</v>
      </c>
      <c r="AJ324" s="222">
        <f t="shared" si="39"/>
        <v>0</v>
      </c>
      <c r="AK324" s="299" t="str">
        <f>IF(ISERROR(LOOKUP(E324,WKNrListe,Übersicht!$R$7:$R$46)),"-",LOOKUP(E324,WKNrListe,Übersicht!$R$7:$R$46))</f>
        <v>-</v>
      </c>
      <c r="AL324" s="299" t="str">
        <f t="shared" si="42"/>
        <v>-</v>
      </c>
      <c r="AM324" s="303"/>
      <c r="AN324" s="174" t="str">
        <f t="shared" si="44"/>
        <v>Leer</v>
      </c>
    </row>
    <row r="325" spans="1:40" s="174" customFormat="1" ht="15" customHeight="1">
      <c r="A325" s="63"/>
      <c r="B325" s="63"/>
      <c r="C325" s="84"/>
      <c r="D325" s="85"/>
      <c r="E325" s="62"/>
      <c r="F325" s="62"/>
      <c r="G325" s="62"/>
      <c r="H325" s="62"/>
      <c r="I325" s="62"/>
      <c r="J325" s="62"/>
      <c r="K325" s="62"/>
      <c r="L325" s="62"/>
      <c r="M325" s="62"/>
      <c r="N325" s="62"/>
      <c r="O325" s="62"/>
      <c r="P325" s="62"/>
      <c r="Q325" s="62"/>
      <c r="R325" s="62"/>
      <c r="S325" s="258"/>
      <c r="T325" s="248" t="str">
        <f t="shared" si="40"/>
        <v/>
      </c>
      <c r="U325" s="249" t="str">
        <f t="shared" si="41"/>
        <v/>
      </c>
      <c r="V325" s="294" t="str">
        <f t="shared" ref="V325:V388" si="46">IF(((AK325="-")*(F325=""))+((AK325=1)*(F325&lt;&gt;""))+(Y325="WK falsch"),"",IF((AK325=1)*(F325=""),"Mannsch-Nr fehlt","Mannsch-Nr entf"))</f>
        <v/>
      </c>
      <c r="W325" s="294" t="str">
        <f>IF(((E325="")+(F325="")),"",IF(VLOOKUP(F325,Mannschaften!$A$1:$B$54,2,FALSE)&lt;&gt;E325,"Reiter Mannschaften füllen",""))</f>
        <v/>
      </c>
      <c r="X325" s="248" t="str">
        <f>IF(ISBLANK(C325),"",IF((U325&gt;(LOOKUP(E325,WKNrListe,Übersicht!$O$7:$O$46)))+(U325&lt;(LOOKUP(E325,WKNrListe,Übersicht!$P$7:$P$46))),"JG falsch",""))</f>
        <v/>
      </c>
      <c r="Y325" s="255" t="str">
        <f>IF((A325="")*(B325=""),"",IF(ISERROR(MATCH(E325,WKNrListe,0)),"WK falsch",LOOKUP(E325,WKNrListe,Übersicht!$B$7:$B$46)))</f>
        <v/>
      </c>
      <c r="Z325" s="269" t="str">
        <f>IF(((AJ325=0)*(AH325&lt;&gt;"")*(AK325="-"))+((AJ325&lt;&gt;0)*(AH325&lt;&gt;"")*(AK325="-")),IF(AG325="X",Übersicht!$C$70,Übersicht!$C$69),"-")</f>
        <v>-</v>
      </c>
      <c r="AA325" s="252" t="str">
        <f>IF((($A325="")*($B325=""))+((MID($Y325,1,4)&lt;&gt;"Wahl")*(Deckblatt!$C$14='WK-Vorlagen'!$C$82))+(Deckblatt!$C$14&lt;&gt;'WK-Vorlagen'!$C$82),"",IF(ISERROR(MATCH(VALUE(MID(G325,1,2)),Schwierigkeitsstufen!$G$7:$G$19,0)),"Gerät falsch",LOOKUP(VALUE(MID(G325,1,2)),Schwierigkeitsstufen!$G$7:$G$19,Schwierigkeitsstufen!$H$7:$H$19)))</f>
        <v/>
      </c>
      <c r="AB325" s="250" t="str">
        <f>IF((($A325="")*($B325=""))+((MID($Y325,1,4)&lt;&gt;"Wahl")*(Deckblatt!$C$14='WK-Vorlagen'!$C$82))+(Deckblatt!$C$14&lt;&gt;'WK-Vorlagen'!$C$82),"",IF(ISERROR(MATCH(VALUE(MID(H325,1,2)),Schwierigkeitsstufen!$G$7:$G$19,0)),"Gerät falsch",LOOKUP(VALUE(MID(H325,1,2)),Schwierigkeitsstufen!$G$7:$G$19,Schwierigkeitsstufen!$H$7:$H$19)))</f>
        <v/>
      </c>
      <c r="AC325" s="250" t="str">
        <f>IF((($A325="")*($B325=""))+((MID($Y325,1,4)&lt;&gt;"Wahl")*(Deckblatt!$C$14='WK-Vorlagen'!$C$82))+(Deckblatt!$C$14&lt;&gt;'WK-Vorlagen'!$C$82),"",IF(ISERROR(MATCH(VALUE(MID(I325,1,2)),Schwierigkeitsstufen!$G$7:$G$19,0)),"Gerät falsch",LOOKUP(VALUE(MID(I325,1,2)),Schwierigkeitsstufen!$G$7:$G$19,Schwierigkeitsstufen!$H$7:$H$19)))</f>
        <v/>
      </c>
      <c r="AD325" s="251" t="str">
        <f>IF((($A325="")*($B325=""))+((MID($Y325,1,4)&lt;&gt;"Wahl")*(Deckblatt!$C$14='WK-Vorlagen'!$C$82))+(Deckblatt!$C$14&lt;&gt;'WK-Vorlagen'!$C$82),"",IF(ISERROR(MATCH(VALUE(MID(J325,1,2)),Schwierigkeitsstufen!$G$7:$G$19,0)),"Gerät falsch",LOOKUP(VALUE(MID(J325,1,2)),Schwierigkeitsstufen!$G$7:$G$19,Schwierigkeitsstufen!$H$7:$H$19)))</f>
        <v/>
      </c>
      <c r="AE325" s="211"/>
      <c r="AG325" s="221" t="str">
        <f t="shared" si="45"/>
        <v/>
      </c>
      <c r="AH325" s="222" t="str">
        <f t="shared" ref="AH325:AH388" si="47">CONCATENATE(TRIM(A325),TRIM(B325),TRIM(C325))</f>
        <v/>
      </c>
      <c r="AI325" s="220">
        <f t="shared" si="43"/>
        <v>4</v>
      </c>
      <c r="AJ325" s="222">
        <f t="shared" ref="AJ325:AJ388" si="48">IF(AH325="",0,IF(ROW(AH325)=AI325,0,AI325))</f>
        <v>0</v>
      </c>
      <c r="AK325" s="299" t="str">
        <f>IF(ISERROR(LOOKUP(E325,WKNrListe,Übersicht!$R$7:$R$46)),"-",LOOKUP(E325,WKNrListe,Übersicht!$R$7:$R$46))</f>
        <v>-</v>
      </c>
      <c r="AL325" s="299" t="str">
        <f t="shared" si="42"/>
        <v>-</v>
      </c>
      <c r="AM325" s="303"/>
      <c r="AN325" s="174" t="str">
        <f t="shared" si="44"/>
        <v>Leer</v>
      </c>
    </row>
    <row r="326" spans="1:40" s="174" customFormat="1" ht="15" customHeight="1">
      <c r="A326" s="63"/>
      <c r="B326" s="63"/>
      <c r="C326" s="84"/>
      <c r="D326" s="85"/>
      <c r="E326" s="62"/>
      <c r="F326" s="62"/>
      <c r="G326" s="62"/>
      <c r="H326" s="62"/>
      <c r="I326" s="62"/>
      <c r="J326" s="62"/>
      <c r="K326" s="62"/>
      <c r="L326" s="62"/>
      <c r="M326" s="62"/>
      <c r="N326" s="62"/>
      <c r="O326" s="62"/>
      <c r="P326" s="62"/>
      <c r="Q326" s="62"/>
      <c r="R326" s="62"/>
      <c r="S326" s="258"/>
      <c r="T326" s="248" t="str">
        <f t="shared" ref="T326:T389" si="49">IF(AND(OR(ISTEXT(A326),ISTEXT(B326),NOT(ISBLANK(C326)),NOT(ISBLANK(D326)),NOT(ISBLANK(E326))),OR(ISBLANK(A326),ISBLANK(B326),ISBLANK(C326),ISBLANK(E326))),"unvollständig","")</f>
        <v/>
      </c>
      <c r="U326" s="249" t="str">
        <f t="shared" ref="U326:U389" si="50">IF(ISBLANK(C326),"",YEAR(C326))</f>
        <v/>
      </c>
      <c r="V326" s="294" t="str">
        <f t="shared" si="46"/>
        <v/>
      </c>
      <c r="W326" s="294" t="str">
        <f>IF(((E326="")+(F326="")),"",IF(VLOOKUP(F326,Mannschaften!$A$1:$B$54,2,FALSE)&lt;&gt;E326,"Reiter Mannschaften füllen",""))</f>
        <v/>
      </c>
      <c r="X326" s="248" t="str">
        <f>IF(ISBLANK(C326),"",IF((U326&gt;(LOOKUP(E326,WKNrListe,Übersicht!$O$7:$O$46)))+(U326&lt;(LOOKUP(E326,WKNrListe,Übersicht!$P$7:$P$46))),"JG falsch",""))</f>
        <v/>
      </c>
      <c r="Y326" s="255" t="str">
        <f>IF((A326="")*(B326=""),"",IF(ISERROR(MATCH(E326,WKNrListe,0)),"WK falsch",LOOKUP(E326,WKNrListe,Übersicht!$B$7:$B$46)))</f>
        <v/>
      </c>
      <c r="Z326" s="269" t="str">
        <f>IF(((AJ326=0)*(AH326&lt;&gt;"")*(AK326="-"))+((AJ326&lt;&gt;0)*(AH326&lt;&gt;"")*(AK326="-")),IF(AG326="X",Übersicht!$C$70,Übersicht!$C$69),"-")</f>
        <v>-</v>
      </c>
      <c r="AA326" s="252" t="str">
        <f>IF((($A326="")*($B326=""))+((MID($Y326,1,4)&lt;&gt;"Wahl")*(Deckblatt!$C$14='WK-Vorlagen'!$C$82))+(Deckblatt!$C$14&lt;&gt;'WK-Vorlagen'!$C$82),"",IF(ISERROR(MATCH(VALUE(MID(G326,1,2)),Schwierigkeitsstufen!$G$7:$G$19,0)),"Gerät falsch",LOOKUP(VALUE(MID(G326,1,2)),Schwierigkeitsstufen!$G$7:$G$19,Schwierigkeitsstufen!$H$7:$H$19)))</f>
        <v/>
      </c>
      <c r="AB326" s="250" t="str">
        <f>IF((($A326="")*($B326=""))+((MID($Y326,1,4)&lt;&gt;"Wahl")*(Deckblatt!$C$14='WK-Vorlagen'!$C$82))+(Deckblatt!$C$14&lt;&gt;'WK-Vorlagen'!$C$82),"",IF(ISERROR(MATCH(VALUE(MID(H326,1,2)),Schwierigkeitsstufen!$G$7:$G$19,0)),"Gerät falsch",LOOKUP(VALUE(MID(H326,1,2)),Schwierigkeitsstufen!$G$7:$G$19,Schwierigkeitsstufen!$H$7:$H$19)))</f>
        <v/>
      </c>
      <c r="AC326" s="250" t="str">
        <f>IF((($A326="")*($B326=""))+((MID($Y326,1,4)&lt;&gt;"Wahl")*(Deckblatt!$C$14='WK-Vorlagen'!$C$82))+(Deckblatt!$C$14&lt;&gt;'WK-Vorlagen'!$C$82),"",IF(ISERROR(MATCH(VALUE(MID(I326,1,2)),Schwierigkeitsstufen!$G$7:$G$19,0)),"Gerät falsch",LOOKUP(VALUE(MID(I326,1,2)),Schwierigkeitsstufen!$G$7:$G$19,Schwierigkeitsstufen!$H$7:$H$19)))</f>
        <v/>
      </c>
      <c r="AD326" s="251" t="str">
        <f>IF((($A326="")*($B326=""))+((MID($Y326,1,4)&lt;&gt;"Wahl")*(Deckblatt!$C$14='WK-Vorlagen'!$C$82))+(Deckblatt!$C$14&lt;&gt;'WK-Vorlagen'!$C$82),"",IF(ISERROR(MATCH(VALUE(MID(J326,1,2)),Schwierigkeitsstufen!$G$7:$G$19,0)),"Gerät falsch",LOOKUP(VALUE(MID(J326,1,2)),Schwierigkeitsstufen!$G$7:$G$19,Schwierigkeitsstufen!$H$7:$H$19)))</f>
        <v/>
      </c>
      <c r="AE326" s="211"/>
      <c r="AG326" s="221" t="str">
        <f t="shared" si="45"/>
        <v/>
      </c>
      <c r="AH326" s="222" t="str">
        <f t="shared" si="47"/>
        <v/>
      </c>
      <c r="AI326" s="220">
        <f t="shared" si="43"/>
        <v>4</v>
      </c>
      <c r="AJ326" s="222">
        <f t="shared" si="48"/>
        <v>0</v>
      </c>
      <c r="AK326" s="299" t="str">
        <f>IF(ISERROR(LOOKUP(E326,WKNrListe,Übersicht!$R$7:$R$46)),"-",LOOKUP(E326,WKNrListe,Übersicht!$R$7:$R$46))</f>
        <v>-</v>
      </c>
      <c r="AL326" s="299" t="str">
        <f t="shared" ref="AL326:AL389" si="51">IF(E326="","-",E326)</f>
        <v>-</v>
      </c>
      <c r="AM326" s="303"/>
      <c r="AN326" s="174" t="str">
        <f t="shared" si="44"/>
        <v>Leer</v>
      </c>
    </row>
    <row r="327" spans="1:40" s="174" customFormat="1" ht="15" customHeight="1">
      <c r="A327" s="63"/>
      <c r="B327" s="63"/>
      <c r="C327" s="84"/>
      <c r="D327" s="85"/>
      <c r="E327" s="62"/>
      <c r="F327" s="62"/>
      <c r="G327" s="62"/>
      <c r="H327" s="62"/>
      <c r="I327" s="62"/>
      <c r="J327" s="62"/>
      <c r="K327" s="62"/>
      <c r="L327" s="62"/>
      <c r="M327" s="62"/>
      <c r="N327" s="62"/>
      <c r="O327" s="62"/>
      <c r="P327" s="62"/>
      <c r="Q327" s="62"/>
      <c r="R327" s="62"/>
      <c r="S327" s="258"/>
      <c r="T327" s="248" t="str">
        <f t="shared" si="49"/>
        <v/>
      </c>
      <c r="U327" s="249" t="str">
        <f t="shared" si="50"/>
        <v/>
      </c>
      <c r="V327" s="294" t="str">
        <f t="shared" si="46"/>
        <v/>
      </c>
      <c r="W327" s="294" t="str">
        <f>IF(((E327="")+(F327="")),"",IF(VLOOKUP(F327,Mannschaften!$A$1:$B$54,2,FALSE)&lt;&gt;E327,"Reiter Mannschaften füllen",""))</f>
        <v/>
      </c>
      <c r="X327" s="248" t="str">
        <f>IF(ISBLANK(C327),"",IF((U327&gt;(LOOKUP(E327,WKNrListe,Übersicht!$O$7:$O$46)))+(U327&lt;(LOOKUP(E327,WKNrListe,Übersicht!$P$7:$P$46))),"JG falsch",""))</f>
        <v/>
      </c>
      <c r="Y327" s="255" t="str">
        <f>IF((A327="")*(B327=""),"",IF(ISERROR(MATCH(E327,WKNrListe,0)),"WK falsch",LOOKUP(E327,WKNrListe,Übersicht!$B$7:$B$46)))</f>
        <v/>
      </c>
      <c r="Z327" s="269" t="str">
        <f>IF(((AJ327=0)*(AH327&lt;&gt;"")*(AK327="-"))+((AJ327&lt;&gt;0)*(AH327&lt;&gt;"")*(AK327="-")),IF(AG327="X",Übersicht!$C$70,Übersicht!$C$69),"-")</f>
        <v>-</v>
      </c>
      <c r="AA327" s="252" t="str">
        <f>IF((($A327="")*($B327=""))+((MID($Y327,1,4)&lt;&gt;"Wahl")*(Deckblatt!$C$14='WK-Vorlagen'!$C$82))+(Deckblatt!$C$14&lt;&gt;'WK-Vorlagen'!$C$82),"",IF(ISERROR(MATCH(VALUE(MID(G327,1,2)),Schwierigkeitsstufen!$G$7:$G$19,0)),"Gerät falsch",LOOKUP(VALUE(MID(G327,1,2)),Schwierigkeitsstufen!$G$7:$G$19,Schwierigkeitsstufen!$H$7:$H$19)))</f>
        <v/>
      </c>
      <c r="AB327" s="250" t="str">
        <f>IF((($A327="")*($B327=""))+((MID($Y327,1,4)&lt;&gt;"Wahl")*(Deckblatt!$C$14='WK-Vorlagen'!$C$82))+(Deckblatt!$C$14&lt;&gt;'WK-Vorlagen'!$C$82),"",IF(ISERROR(MATCH(VALUE(MID(H327,1,2)),Schwierigkeitsstufen!$G$7:$G$19,0)),"Gerät falsch",LOOKUP(VALUE(MID(H327,1,2)),Schwierigkeitsstufen!$G$7:$G$19,Schwierigkeitsstufen!$H$7:$H$19)))</f>
        <v/>
      </c>
      <c r="AC327" s="250" t="str">
        <f>IF((($A327="")*($B327=""))+((MID($Y327,1,4)&lt;&gt;"Wahl")*(Deckblatt!$C$14='WK-Vorlagen'!$C$82))+(Deckblatt!$C$14&lt;&gt;'WK-Vorlagen'!$C$82),"",IF(ISERROR(MATCH(VALUE(MID(I327,1,2)),Schwierigkeitsstufen!$G$7:$G$19,0)),"Gerät falsch",LOOKUP(VALUE(MID(I327,1,2)),Schwierigkeitsstufen!$G$7:$G$19,Schwierigkeitsstufen!$H$7:$H$19)))</f>
        <v/>
      </c>
      <c r="AD327" s="251" t="str">
        <f>IF((($A327="")*($B327=""))+((MID($Y327,1,4)&lt;&gt;"Wahl")*(Deckblatt!$C$14='WK-Vorlagen'!$C$82))+(Deckblatt!$C$14&lt;&gt;'WK-Vorlagen'!$C$82),"",IF(ISERROR(MATCH(VALUE(MID(J327,1,2)),Schwierigkeitsstufen!$G$7:$G$19,0)),"Gerät falsch",LOOKUP(VALUE(MID(J327,1,2)),Schwierigkeitsstufen!$G$7:$G$19,Schwierigkeitsstufen!$H$7:$H$19)))</f>
        <v/>
      </c>
      <c r="AE327" s="211"/>
      <c r="AG327" s="221" t="str">
        <f t="shared" si="45"/>
        <v/>
      </c>
      <c r="AH327" s="222" t="str">
        <f t="shared" si="47"/>
        <v/>
      </c>
      <c r="AI327" s="220">
        <f t="shared" ref="AI327:AI390" si="52">MATCH(AH327,AH:AH,0)</f>
        <v>4</v>
      </c>
      <c r="AJ327" s="222">
        <f t="shared" si="48"/>
        <v>0</v>
      </c>
      <c r="AK327" s="299" t="str">
        <f>IF(ISERROR(LOOKUP(E327,WKNrListe,Übersicht!$R$7:$R$46)),"-",LOOKUP(E327,WKNrListe,Übersicht!$R$7:$R$46))</f>
        <v>-</v>
      </c>
      <c r="AL327" s="299" t="str">
        <f t="shared" si="51"/>
        <v>-</v>
      </c>
      <c r="AM327" s="303"/>
      <c r="AN327" s="174" t="str">
        <f t="shared" si="44"/>
        <v>Leer</v>
      </c>
    </row>
    <row r="328" spans="1:40" s="174" customFormat="1" ht="15" customHeight="1">
      <c r="A328" s="63"/>
      <c r="B328" s="63"/>
      <c r="C328" s="84"/>
      <c r="D328" s="85"/>
      <c r="E328" s="62"/>
      <c r="F328" s="62"/>
      <c r="G328" s="62"/>
      <c r="H328" s="62"/>
      <c r="I328" s="62"/>
      <c r="J328" s="62"/>
      <c r="K328" s="62"/>
      <c r="L328" s="62"/>
      <c r="M328" s="62"/>
      <c r="N328" s="62"/>
      <c r="O328" s="62"/>
      <c r="P328" s="62"/>
      <c r="Q328" s="62"/>
      <c r="R328" s="62"/>
      <c r="S328" s="258"/>
      <c r="T328" s="248" t="str">
        <f t="shared" si="49"/>
        <v/>
      </c>
      <c r="U328" s="249" t="str">
        <f t="shared" si="50"/>
        <v/>
      </c>
      <c r="V328" s="294" t="str">
        <f t="shared" si="46"/>
        <v/>
      </c>
      <c r="W328" s="294" t="str">
        <f>IF(((E328="")+(F328="")),"",IF(VLOOKUP(F328,Mannschaften!$A$1:$B$54,2,FALSE)&lt;&gt;E328,"Reiter Mannschaften füllen",""))</f>
        <v/>
      </c>
      <c r="X328" s="248" t="str">
        <f>IF(ISBLANK(C328),"",IF((U328&gt;(LOOKUP(E328,WKNrListe,Übersicht!$O$7:$O$46)))+(U328&lt;(LOOKUP(E328,WKNrListe,Übersicht!$P$7:$P$46))),"JG falsch",""))</f>
        <v/>
      </c>
      <c r="Y328" s="255" t="str">
        <f>IF((A328="")*(B328=""),"",IF(ISERROR(MATCH(E328,WKNrListe,0)),"WK falsch",LOOKUP(E328,WKNrListe,Übersicht!$B$7:$B$46)))</f>
        <v/>
      </c>
      <c r="Z328" s="269" t="str">
        <f>IF(((AJ328=0)*(AH328&lt;&gt;"")*(AK328="-"))+((AJ328&lt;&gt;0)*(AH328&lt;&gt;"")*(AK328="-")),IF(AG328="X",Übersicht!$C$70,Übersicht!$C$69),"-")</f>
        <v>-</v>
      </c>
      <c r="AA328" s="252" t="str">
        <f>IF((($A328="")*($B328=""))+((MID($Y328,1,4)&lt;&gt;"Wahl")*(Deckblatt!$C$14='WK-Vorlagen'!$C$82))+(Deckblatt!$C$14&lt;&gt;'WK-Vorlagen'!$C$82),"",IF(ISERROR(MATCH(VALUE(MID(G328,1,2)),Schwierigkeitsstufen!$G$7:$G$19,0)),"Gerät falsch",LOOKUP(VALUE(MID(G328,1,2)),Schwierigkeitsstufen!$G$7:$G$19,Schwierigkeitsstufen!$H$7:$H$19)))</f>
        <v/>
      </c>
      <c r="AB328" s="250" t="str">
        <f>IF((($A328="")*($B328=""))+((MID($Y328,1,4)&lt;&gt;"Wahl")*(Deckblatt!$C$14='WK-Vorlagen'!$C$82))+(Deckblatt!$C$14&lt;&gt;'WK-Vorlagen'!$C$82),"",IF(ISERROR(MATCH(VALUE(MID(H328,1,2)),Schwierigkeitsstufen!$G$7:$G$19,0)),"Gerät falsch",LOOKUP(VALUE(MID(H328,1,2)),Schwierigkeitsstufen!$G$7:$G$19,Schwierigkeitsstufen!$H$7:$H$19)))</f>
        <v/>
      </c>
      <c r="AC328" s="250" t="str">
        <f>IF((($A328="")*($B328=""))+((MID($Y328,1,4)&lt;&gt;"Wahl")*(Deckblatt!$C$14='WK-Vorlagen'!$C$82))+(Deckblatt!$C$14&lt;&gt;'WK-Vorlagen'!$C$82),"",IF(ISERROR(MATCH(VALUE(MID(I328,1,2)),Schwierigkeitsstufen!$G$7:$G$19,0)),"Gerät falsch",LOOKUP(VALUE(MID(I328,1,2)),Schwierigkeitsstufen!$G$7:$G$19,Schwierigkeitsstufen!$H$7:$H$19)))</f>
        <v/>
      </c>
      <c r="AD328" s="251" t="str">
        <f>IF((($A328="")*($B328=""))+((MID($Y328,1,4)&lt;&gt;"Wahl")*(Deckblatt!$C$14='WK-Vorlagen'!$C$82))+(Deckblatt!$C$14&lt;&gt;'WK-Vorlagen'!$C$82),"",IF(ISERROR(MATCH(VALUE(MID(J328,1,2)),Schwierigkeitsstufen!$G$7:$G$19,0)),"Gerät falsch",LOOKUP(VALUE(MID(J328,1,2)),Schwierigkeitsstufen!$G$7:$G$19,Schwierigkeitsstufen!$H$7:$H$19)))</f>
        <v/>
      </c>
      <c r="AE328" s="211"/>
      <c r="AG328" s="221" t="str">
        <f t="shared" si="45"/>
        <v/>
      </c>
      <c r="AH328" s="222" t="str">
        <f t="shared" si="47"/>
        <v/>
      </c>
      <c r="AI328" s="220">
        <f t="shared" si="52"/>
        <v>4</v>
      </c>
      <c r="AJ328" s="222">
        <f t="shared" si="48"/>
        <v>0</v>
      </c>
      <c r="AK328" s="299" t="str">
        <f>IF(ISERROR(LOOKUP(E328,WKNrListe,Übersicht!$R$7:$R$46)),"-",LOOKUP(E328,WKNrListe,Übersicht!$R$7:$R$46))</f>
        <v>-</v>
      </c>
      <c r="AL328" s="299" t="str">
        <f t="shared" si="51"/>
        <v>-</v>
      </c>
      <c r="AM328" s="303"/>
      <c r="AN328" s="174" t="str">
        <f t="shared" si="44"/>
        <v>Leer</v>
      </c>
    </row>
    <row r="329" spans="1:40" s="174" customFormat="1" ht="15" customHeight="1">
      <c r="A329" s="63"/>
      <c r="B329" s="63"/>
      <c r="C329" s="84"/>
      <c r="D329" s="85"/>
      <c r="E329" s="62"/>
      <c r="F329" s="62"/>
      <c r="G329" s="62"/>
      <c r="H329" s="62"/>
      <c r="I329" s="62"/>
      <c r="J329" s="62"/>
      <c r="K329" s="62"/>
      <c r="L329" s="62"/>
      <c r="M329" s="62"/>
      <c r="N329" s="62"/>
      <c r="O329" s="62"/>
      <c r="P329" s="62"/>
      <c r="Q329" s="62"/>
      <c r="R329" s="62"/>
      <c r="S329" s="258"/>
      <c r="T329" s="248" t="str">
        <f t="shared" si="49"/>
        <v/>
      </c>
      <c r="U329" s="249" t="str">
        <f t="shared" si="50"/>
        <v/>
      </c>
      <c r="V329" s="294" t="str">
        <f t="shared" si="46"/>
        <v/>
      </c>
      <c r="W329" s="294" t="str">
        <f>IF(((E329="")+(F329="")),"",IF(VLOOKUP(F329,Mannschaften!$A$1:$B$54,2,FALSE)&lt;&gt;E329,"Reiter Mannschaften füllen",""))</f>
        <v/>
      </c>
      <c r="X329" s="248" t="str">
        <f>IF(ISBLANK(C329),"",IF((U329&gt;(LOOKUP(E329,WKNrListe,Übersicht!$O$7:$O$46)))+(U329&lt;(LOOKUP(E329,WKNrListe,Übersicht!$P$7:$P$46))),"JG falsch",""))</f>
        <v/>
      </c>
      <c r="Y329" s="255" t="str">
        <f>IF((A329="")*(B329=""),"",IF(ISERROR(MATCH(E329,WKNrListe,0)),"WK falsch",LOOKUP(E329,WKNrListe,Übersicht!$B$7:$B$46)))</f>
        <v/>
      </c>
      <c r="Z329" s="269" t="str">
        <f>IF(((AJ329=0)*(AH329&lt;&gt;"")*(AK329="-"))+((AJ329&lt;&gt;0)*(AH329&lt;&gt;"")*(AK329="-")),IF(AG329="X",Übersicht!$C$70,Übersicht!$C$69),"-")</f>
        <v>-</v>
      </c>
      <c r="AA329" s="252" t="str">
        <f>IF((($A329="")*($B329=""))+((MID($Y329,1,4)&lt;&gt;"Wahl")*(Deckblatt!$C$14='WK-Vorlagen'!$C$82))+(Deckblatt!$C$14&lt;&gt;'WK-Vorlagen'!$C$82),"",IF(ISERROR(MATCH(VALUE(MID(G329,1,2)),Schwierigkeitsstufen!$G$7:$G$19,0)),"Gerät falsch",LOOKUP(VALUE(MID(G329,1,2)),Schwierigkeitsstufen!$G$7:$G$19,Schwierigkeitsstufen!$H$7:$H$19)))</f>
        <v/>
      </c>
      <c r="AB329" s="250" t="str">
        <f>IF((($A329="")*($B329=""))+((MID($Y329,1,4)&lt;&gt;"Wahl")*(Deckblatt!$C$14='WK-Vorlagen'!$C$82))+(Deckblatt!$C$14&lt;&gt;'WK-Vorlagen'!$C$82),"",IF(ISERROR(MATCH(VALUE(MID(H329,1,2)),Schwierigkeitsstufen!$G$7:$G$19,0)),"Gerät falsch",LOOKUP(VALUE(MID(H329,1,2)),Schwierigkeitsstufen!$G$7:$G$19,Schwierigkeitsstufen!$H$7:$H$19)))</f>
        <v/>
      </c>
      <c r="AC329" s="250" t="str">
        <f>IF((($A329="")*($B329=""))+((MID($Y329,1,4)&lt;&gt;"Wahl")*(Deckblatt!$C$14='WK-Vorlagen'!$C$82))+(Deckblatt!$C$14&lt;&gt;'WK-Vorlagen'!$C$82),"",IF(ISERROR(MATCH(VALUE(MID(I329,1,2)),Schwierigkeitsstufen!$G$7:$G$19,0)),"Gerät falsch",LOOKUP(VALUE(MID(I329,1,2)),Schwierigkeitsstufen!$G$7:$G$19,Schwierigkeitsstufen!$H$7:$H$19)))</f>
        <v/>
      </c>
      <c r="AD329" s="251" t="str">
        <f>IF((($A329="")*($B329=""))+((MID($Y329,1,4)&lt;&gt;"Wahl")*(Deckblatt!$C$14='WK-Vorlagen'!$C$82))+(Deckblatt!$C$14&lt;&gt;'WK-Vorlagen'!$C$82),"",IF(ISERROR(MATCH(VALUE(MID(J329,1,2)),Schwierigkeitsstufen!$G$7:$G$19,0)),"Gerät falsch",LOOKUP(VALUE(MID(J329,1,2)),Schwierigkeitsstufen!$G$7:$G$19,Schwierigkeitsstufen!$H$7:$H$19)))</f>
        <v/>
      </c>
      <c r="AE329" s="211"/>
      <c r="AG329" s="221" t="str">
        <f t="shared" si="45"/>
        <v/>
      </c>
      <c r="AH329" s="222" t="str">
        <f t="shared" si="47"/>
        <v/>
      </c>
      <c r="AI329" s="220">
        <f t="shared" si="52"/>
        <v>4</v>
      </c>
      <c r="AJ329" s="222">
        <f t="shared" si="48"/>
        <v>0</v>
      </c>
      <c r="AK329" s="299" t="str">
        <f>IF(ISERROR(LOOKUP(E329,WKNrListe,Übersicht!$R$7:$R$46)),"-",LOOKUP(E329,WKNrListe,Übersicht!$R$7:$R$46))</f>
        <v>-</v>
      </c>
      <c r="AL329" s="299" t="str">
        <f t="shared" si="51"/>
        <v>-</v>
      </c>
      <c r="AM329" s="303"/>
      <c r="AN329" s="174" t="str">
        <f t="shared" si="44"/>
        <v>Leer</v>
      </c>
    </row>
    <row r="330" spans="1:40" s="174" customFormat="1" ht="15" customHeight="1">
      <c r="A330" s="63"/>
      <c r="B330" s="63"/>
      <c r="C330" s="84"/>
      <c r="D330" s="85"/>
      <c r="E330" s="62"/>
      <c r="F330" s="62"/>
      <c r="G330" s="62"/>
      <c r="H330" s="62"/>
      <c r="I330" s="62"/>
      <c r="J330" s="62"/>
      <c r="K330" s="62"/>
      <c r="L330" s="62"/>
      <c r="M330" s="62"/>
      <c r="N330" s="62"/>
      <c r="O330" s="62"/>
      <c r="P330" s="62"/>
      <c r="Q330" s="62"/>
      <c r="R330" s="62"/>
      <c r="S330" s="258"/>
      <c r="T330" s="248" t="str">
        <f t="shared" si="49"/>
        <v/>
      </c>
      <c r="U330" s="249" t="str">
        <f t="shared" si="50"/>
        <v/>
      </c>
      <c r="V330" s="294" t="str">
        <f t="shared" si="46"/>
        <v/>
      </c>
      <c r="W330" s="294" t="str">
        <f>IF(((E330="")+(F330="")),"",IF(VLOOKUP(F330,Mannschaften!$A$1:$B$54,2,FALSE)&lt;&gt;E330,"Reiter Mannschaften füllen",""))</f>
        <v/>
      </c>
      <c r="X330" s="248" t="str">
        <f>IF(ISBLANK(C330),"",IF((U330&gt;(LOOKUP(E330,WKNrListe,Übersicht!$O$7:$O$46)))+(U330&lt;(LOOKUP(E330,WKNrListe,Übersicht!$P$7:$P$46))),"JG falsch",""))</f>
        <v/>
      </c>
      <c r="Y330" s="255" t="str">
        <f>IF((A330="")*(B330=""),"",IF(ISERROR(MATCH(E330,WKNrListe,0)),"WK falsch",LOOKUP(E330,WKNrListe,Übersicht!$B$7:$B$46)))</f>
        <v/>
      </c>
      <c r="Z330" s="269" t="str">
        <f>IF(((AJ330=0)*(AH330&lt;&gt;"")*(AK330="-"))+((AJ330&lt;&gt;0)*(AH330&lt;&gt;"")*(AK330="-")),IF(AG330="X",Übersicht!$C$70,Übersicht!$C$69),"-")</f>
        <v>-</v>
      </c>
      <c r="AA330" s="252" t="str">
        <f>IF((($A330="")*($B330=""))+((MID($Y330,1,4)&lt;&gt;"Wahl")*(Deckblatt!$C$14='WK-Vorlagen'!$C$82))+(Deckblatt!$C$14&lt;&gt;'WK-Vorlagen'!$C$82),"",IF(ISERROR(MATCH(VALUE(MID(G330,1,2)),Schwierigkeitsstufen!$G$7:$G$19,0)),"Gerät falsch",LOOKUP(VALUE(MID(G330,1,2)),Schwierigkeitsstufen!$G$7:$G$19,Schwierigkeitsstufen!$H$7:$H$19)))</f>
        <v/>
      </c>
      <c r="AB330" s="250" t="str">
        <f>IF((($A330="")*($B330=""))+((MID($Y330,1,4)&lt;&gt;"Wahl")*(Deckblatt!$C$14='WK-Vorlagen'!$C$82))+(Deckblatt!$C$14&lt;&gt;'WK-Vorlagen'!$C$82),"",IF(ISERROR(MATCH(VALUE(MID(H330,1,2)),Schwierigkeitsstufen!$G$7:$G$19,0)),"Gerät falsch",LOOKUP(VALUE(MID(H330,1,2)),Schwierigkeitsstufen!$G$7:$G$19,Schwierigkeitsstufen!$H$7:$H$19)))</f>
        <v/>
      </c>
      <c r="AC330" s="250" t="str">
        <f>IF((($A330="")*($B330=""))+((MID($Y330,1,4)&lt;&gt;"Wahl")*(Deckblatt!$C$14='WK-Vorlagen'!$C$82))+(Deckblatt!$C$14&lt;&gt;'WK-Vorlagen'!$C$82),"",IF(ISERROR(MATCH(VALUE(MID(I330,1,2)),Schwierigkeitsstufen!$G$7:$G$19,0)),"Gerät falsch",LOOKUP(VALUE(MID(I330,1,2)),Schwierigkeitsstufen!$G$7:$G$19,Schwierigkeitsstufen!$H$7:$H$19)))</f>
        <v/>
      </c>
      <c r="AD330" s="251" t="str">
        <f>IF((($A330="")*($B330=""))+((MID($Y330,1,4)&lt;&gt;"Wahl")*(Deckblatt!$C$14='WK-Vorlagen'!$C$82))+(Deckblatt!$C$14&lt;&gt;'WK-Vorlagen'!$C$82),"",IF(ISERROR(MATCH(VALUE(MID(J330,1,2)),Schwierigkeitsstufen!$G$7:$G$19,0)),"Gerät falsch",LOOKUP(VALUE(MID(J330,1,2)),Schwierigkeitsstufen!$G$7:$G$19,Schwierigkeitsstufen!$H$7:$H$19)))</f>
        <v/>
      </c>
      <c r="AE330" s="211"/>
      <c r="AG330" s="221" t="str">
        <f t="shared" si="45"/>
        <v/>
      </c>
      <c r="AH330" s="222" t="str">
        <f t="shared" si="47"/>
        <v/>
      </c>
      <c r="AI330" s="220">
        <f t="shared" si="52"/>
        <v>4</v>
      </c>
      <c r="AJ330" s="222">
        <f t="shared" si="48"/>
        <v>0</v>
      </c>
      <c r="AK330" s="299" t="str">
        <f>IF(ISERROR(LOOKUP(E330,WKNrListe,Übersicht!$R$7:$R$46)),"-",LOOKUP(E330,WKNrListe,Übersicht!$R$7:$R$46))</f>
        <v>-</v>
      </c>
      <c r="AL330" s="299" t="str">
        <f t="shared" si="51"/>
        <v>-</v>
      </c>
      <c r="AM330" s="303"/>
      <c r="AN330" s="174" t="str">
        <f t="shared" si="44"/>
        <v>Leer</v>
      </c>
    </row>
    <row r="331" spans="1:40" s="174" customFormat="1" ht="15" customHeight="1">
      <c r="A331" s="63"/>
      <c r="B331" s="63"/>
      <c r="C331" s="84"/>
      <c r="D331" s="85"/>
      <c r="E331" s="62"/>
      <c r="F331" s="62"/>
      <c r="G331" s="62"/>
      <c r="H331" s="62"/>
      <c r="I331" s="62"/>
      <c r="J331" s="62"/>
      <c r="K331" s="62"/>
      <c r="L331" s="62"/>
      <c r="M331" s="62"/>
      <c r="N331" s="62"/>
      <c r="O331" s="62"/>
      <c r="P331" s="62"/>
      <c r="Q331" s="62"/>
      <c r="R331" s="62"/>
      <c r="S331" s="258"/>
      <c r="T331" s="248" t="str">
        <f t="shared" si="49"/>
        <v/>
      </c>
      <c r="U331" s="249" t="str">
        <f t="shared" si="50"/>
        <v/>
      </c>
      <c r="V331" s="294" t="str">
        <f t="shared" si="46"/>
        <v/>
      </c>
      <c r="W331" s="294" t="str">
        <f>IF(((E331="")+(F331="")),"",IF(VLOOKUP(F331,Mannschaften!$A$1:$B$54,2,FALSE)&lt;&gt;E331,"Reiter Mannschaften füllen",""))</f>
        <v/>
      </c>
      <c r="X331" s="248" t="str">
        <f>IF(ISBLANK(C331),"",IF((U331&gt;(LOOKUP(E331,WKNrListe,Übersicht!$O$7:$O$46)))+(U331&lt;(LOOKUP(E331,WKNrListe,Übersicht!$P$7:$P$46))),"JG falsch",""))</f>
        <v/>
      </c>
      <c r="Y331" s="255" t="str">
        <f>IF((A331="")*(B331=""),"",IF(ISERROR(MATCH(E331,WKNrListe,0)),"WK falsch",LOOKUP(E331,WKNrListe,Übersicht!$B$7:$B$46)))</f>
        <v/>
      </c>
      <c r="Z331" s="269" t="str">
        <f>IF(((AJ331=0)*(AH331&lt;&gt;"")*(AK331="-"))+((AJ331&lt;&gt;0)*(AH331&lt;&gt;"")*(AK331="-")),IF(AG331="X",Übersicht!$C$70,Übersicht!$C$69),"-")</f>
        <v>-</v>
      </c>
      <c r="AA331" s="252" t="str">
        <f>IF((($A331="")*($B331=""))+((MID($Y331,1,4)&lt;&gt;"Wahl")*(Deckblatt!$C$14='WK-Vorlagen'!$C$82))+(Deckblatt!$C$14&lt;&gt;'WK-Vorlagen'!$C$82),"",IF(ISERROR(MATCH(VALUE(MID(G331,1,2)),Schwierigkeitsstufen!$G$7:$G$19,0)),"Gerät falsch",LOOKUP(VALUE(MID(G331,1,2)),Schwierigkeitsstufen!$G$7:$G$19,Schwierigkeitsstufen!$H$7:$H$19)))</f>
        <v/>
      </c>
      <c r="AB331" s="250" t="str">
        <f>IF((($A331="")*($B331=""))+((MID($Y331,1,4)&lt;&gt;"Wahl")*(Deckblatt!$C$14='WK-Vorlagen'!$C$82))+(Deckblatt!$C$14&lt;&gt;'WK-Vorlagen'!$C$82),"",IF(ISERROR(MATCH(VALUE(MID(H331,1,2)),Schwierigkeitsstufen!$G$7:$G$19,0)),"Gerät falsch",LOOKUP(VALUE(MID(H331,1,2)),Schwierigkeitsstufen!$G$7:$G$19,Schwierigkeitsstufen!$H$7:$H$19)))</f>
        <v/>
      </c>
      <c r="AC331" s="250" t="str">
        <f>IF((($A331="")*($B331=""))+((MID($Y331,1,4)&lt;&gt;"Wahl")*(Deckblatt!$C$14='WK-Vorlagen'!$C$82))+(Deckblatt!$C$14&lt;&gt;'WK-Vorlagen'!$C$82),"",IF(ISERROR(MATCH(VALUE(MID(I331,1,2)),Schwierigkeitsstufen!$G$7:$G$19,0)),"Gerät falsch",LOOKUP(VALUE(MID(I331,1,2)),Schwierigkeitsstufen!$G$7:$G$19,Schwierigkeitsstufen!$H$7:$H$19)))</f>
        <v/>
      </c>
      <c r="AD331" s="251" t="str">
        <f>IF((($A331="")*($B331=""))+((MID($Y331,1,4)&lt;&gt;"Wahl")*(Deckblatt!$C$14='WK-Vorlagen'!$C$82))+(Deckblatt!$C$14&lt;&gt;'WK-Vorlagen'!$C$82),"",IF(ISERROR(MATCH(VALUE(MID(J331,1,2)),Schwierigkeitsstufen!$G$7:$G$19,0)),"Gerät falsch",LOOKUP(VALUE(MID(J331,1,2)),Schwierigkeitsstufen!$G$7:$G$19,Schwierigkeitsstufen!$H$7:$H$19)))</f>
        <v/>
      </c>
      <c r="AE331" s="211"/>
      <c r="AG331" s="221" t="str">
        <f t="shared" si="45"/>
        <v/>
      </c>
      <c r="AH331" s="222" t="str">
        <f t="shared" si="47"/>
        <v/>
      </c>
      <c r="AI331" s="220">
        <f t="shared" si="52"/>
        <v>4</v>
      </c>
      <c r="AJ331" s="222">
        <f t="shared" si="48"/>
        <v>0</v>
      </c>
      <c r="AK331" s="299" t="str">
        <f>IF(ISERROR(LOOKUP(E331,WKNrListe,Übersicht!$R$7:$R$46)),"-",LOOKUP(E331,WKNrListe,Übersicht!$R$7:$R$46))</f>
        <v>-</v>
      </c>
      <c r="AL331" s="299" t="str">
        <f t="shared" si="51"/>
        <v>-</v>
      </c>
      <c r="AM331" s="303"/>
      <c r="AN331" s="174" t="str">
        <f t="shared" si="44"/>
        <v>Leer</v>
      </c>
    </row>
    <row r="332" spans="1:40" s="174" customFormat="1" ht="15" customHeight="1">
      <c r="A332" s="63"/>
      <c r="B332" s="63"/>
      <c r="C332" s="84"/>
      <c r="D332" s="85"/>
      <c r="E332" s="62"/>
      <c r="F332" s="62"/>
      <c r="G332" s="62"/>
      <c r="H332" s="62"/>
      <c r="I332" s="62"/>
      <c r="J332" s="62"/>
      <c r="K332" s="62"/>
      <c r="L332" s="62"/>
      <c r="M332" s="62"/>
      <c r="N332" s="62"/>
      <c r="O332" s="62"/>
      <c r="P332" s="62"/>
      <c r="Q332" s="62"/>
      <c r="R332" s="62"/>
      <c r="S332" s="258"/>
      <c r="T332" s="248" t="str">
        <f t="shared" si="49"/>
        <v/>
      </c>
      <c r="U332" s="249" t="str">
        <f t="shared" si="50"/>
        <v/>
      </c>
      <c r="V332" s="294" t="str">
        <f t="shared" si="46"/>
        <v/>
      </c>
      <c r="W332" s="294" t="str">
        <f>IF(((E332="")+(F332="")),"",IF(VLOOKUP(F332,Mannschaften!$A$1:$B$54,2,FALSE)&lt;&gt;E332,"Reiter Mannschaften füllen",""))</f>
        <v/>
      </c>
      <c r="X332" s="248" t="str">
        <f>IF(ISBLANK(C332),"",IF((U332&gt;(LOOKUP(E332,WKNrListe,Übersicht!$O$7:$O$46)))+(U332&lt;(LOOKUP(E332,WKNrListe,Übersicht!$P$7:$P$46))),"JG falsch",""))</f>
        <v/>
      </c>
      <c r="Y332" s="255" t="str">
        <f>IF((A332="")*(B332=""),"",IF(ISERROR(MATCH(E332,WKNrListe,0)),"WK falsch",LOOKUP(E332,WKNrListe,Übersicht!$B$7:$B$46)))</f>
        <v/>
      </c>
      <c r="Z332" s="269" t="str">
        <f>IF(((AJ332=0)*(AH332&lt;&gt;"")*(AK332="-"))+((AJ332&lt;&gt;0)*(AH332&lt;&gt;"")*(AK332="-")),IF(AG332="X",Übersicht!$C$70,Übersicht!$C$69),"-")</f>
        <v>-</v>
      </c>
      <c r="AA332" s="252" t="str">
        <f>IF((($A332="")*($B332=""))+((MID($Y332,1,4)&lt;&gt;"Wahl")*(Deckblatt!$C$14='WK-Vorlagen'!$C$82))+(Deckblatt!$C$14&lt;&gt;'WK-Vorlagen'!$C$82),"",IF(ISERROR(MATCH(VALUE(MID(G332,1,2)),Schwierigkeitsstufen!$G$7:$G$19,0)),"Gerät falsch",LOOKUP(VALUE(MID(G332,1,2)),Schwierigkeitsstufen!$G$7:$G$19,Schwierigkeitsstufen!$H$7:$H$19)))</f>
        <v/>
      </c>
      <c r="AB332" s="250" t="str">
        <f>IF((($A332="")*($B332=""))+((MID($Y332,1,4)&lt;&gt;"Wahl")*(Deckblatt!$C$14='WK-Vorlagen'!$C$82))+(Deckblatt!$C$14&lt;&gt;'WK-Vorlagen'!$C$82),"",IF(ISERROR(MATCH(VALUE(MID(H332,1,2)),Schwierigkeitsstufen!$G$7:$G$19,0)),"Gerät falsch",LOOKUP(VALUE(MID(H332,1,2)),Schwierigkeitsstufen!$G$7:$G$19,Schwierigkeitsstufen!$H$7:$H$19)))</f>
        <v/>
      </c>
      <c r="AC332" s="250" t="str">
        <f>IF((($A332="")*($B332=""))+((MID($Y332,1,4)&lt;&gt;"Wahl")*(Deckblatt!$C$14='WK-Vorlagen'!$C$82))+(Deckblatt!$C$14&lt;&gt;'WK-Vorlagen'!$C$82),"",IF(ISERROR(MATCH(VALUE(MID(I332,1,2)),Schwierigkeitsstufen!$G$7:$G$19,0)),"Gerät falsch",LOOKUP(VALUE(MID(I332,1,2)),Schwierigkeitsstufen!$G$7:$G$19,Schwierigkeitsstufen!$H$7:$H$19)))</f>
        <v/>
      </c>
      <c r="AD332" s="251" t="str">
        <f>IF((($A332="")*($B332=""))+((MID($Y332,1,4)&lt;&gt;"Wahl")*(Deckblatt!$C$14='WK-Vorlagen'!$C$82))+(Deckblatt!$C$14&lt;&gt;'WK-Vorlagen'!$C$82),"",IF(ISERROR(MATCH(VALUE(MID(J332,1,2)),Schwierigkeitsstufen!$G$7:$G$19,0)),"Gerät falsch",LOOKUP(VALUE(MID(J332,1,2)),Schwierigkeitsstufen!$G$7:$G$19,Schwierigkeitsstufen!$H$7:$H$19)))</f>
        <v/>
      </c>
      <c r="AE332" s="211"/>
      <c r="AG332" s="221" t="str">
        <f t="shared" si="45"/>
        <v/>
      </c>
      <c r="AH332" s="222" t="str">
        <f t="shared" si="47"/>
        <v/>
      </c>
      <c r="AI332" s="220">
        <f t="shared" si="52"/>
        <v>4</v>
      </c>
      <c r="AJ332" s="222">
        <f t="shared" si="48"/>
        <v>0</v>
      </c>
      <c r="AK332" s="299" t="str">
        <f>IF(ISERROR(LOOKUP(E332,WKNrListe,Übersicht!$R$7:$R$46)),"-",LOOKUP(E332,WKNrListe,Übersicht!$R$7:$R$46))</f>
        <v>-</v>
      </c>
      <c r="AL332" s="299" t="str">
        <f t="shared" si="51"/>
        <v>-</v>
      </c>
      <c r="AM332" s="303"/>
      <c r="AN332" s="174" t="str">
        <f t="shared" si="44"/>
        <v>Leer</v>
      </c>
    </row>
    <row r="333" spans="1:40" s="174" customFormat="1" ht="15" customHeight="1">
      <c r="A333" s="63"/>
      <c r="B333" s="63"/>
      <c r="C333" s="84"/>
      <c r="D333" s="85"/>
      <c r="E333" s="62"/>
      <c r="F333" s="62"/>
      <c r="G333" s="62"/>
      <c r="H333" s="62"/>
      <c r="I333" s="62"/>
      <c r="J333" s="62"/>
      <c r="K333" s="62"/>
      <c r="L333" s="62"/>
      <c r="M333" s="62"/>
      <c r="N333" s="62"/>
      <c r="O333" s="62"/>
      <c r="P333" s="62"/>
      <c r="Q333" s="62"/>
      <c r="R333" s="62"/>
      <c r="S333" s="258"/>
      <c r="T333" s="248" t="str">
        <f t="shared" si="49"/>
        <v/>
      </c>
      <c r="U333" s="249" t="str">
        <f t="shared" si="50"/>
        <v/>
      </c>
      <c r="V333" s="294" t="str">
        <f t="shared" si="46"/>
        <v/>
      </c>
      <c r="W333" s="294" t="str">
        <f>IF(((E333="")+(F333="")),"",IF(VLOOKUP(F333,Mannschaften!$A$1:$B$54,2,FALSE)&lt;&gt;E333,"Reiter Mannschaften füllen",""))</f>
        <v/>
      </c>
      <c r="X333" s="248" t="str">
        <f>IF(ISBLANK(C333),"",IF((U333&gt;(LOOKUP(E333,WKNrListe,Übersicht!$O$7:$O$46)))+(U333&lt;(LOOKUP(E333,WKNrListe,Übersicht!$P$7:$P$46))),"JG falsch",""))</f>
        <v/>
      </c>
      <c r="Y333" s="255" t="str">
        <f>IF((A333="")*(B333=""),"",IF(ISERROR(MATCH(E333,WKNrListe,0)),"WK falsch",LOOKUP(E333,WKNrListe,Übersicht!$B$7:$B$46)))</f>
        <v/>
      </c>
      <c r="Z333" s="269" t="str">
        <f>IF(((AJ333=0)*(AH333&lt;&gt;"")*(AK333="-"))+((AJ333&lt;&gt;0)*(AH333&lt;&gt;"")*(AK333="-")),IF(AG333="X",Übersicht!$C$70,Übersicht!$C$69),"-")</f>
        <v>-</v>
      </c>
      <c r="AA333" s="252" t="str">
        <f>IF((($A333="")*($B333=""))+((MID($Y333,1,4)&lt;&gt;"Wahl")*(Deckblatt!$C$14='WK-Vorlagen'!$C$82))+(Deckblatt!$C$14&lt;&gt;'WK-Vorlagen'!$C$82),"",IF(ISERROR(MATCH(VALUE(MID(G333,1,2)),Schwierigkeitsstufen!$G$7:$G$19,0)),"Gerät falsch",LOOKUP(VALUE(MID(G333,1,2)),Schwierigkeitsstufen!$G$7:$G$19,Schwierigkeitsstufen!$H$7:$H$19)))</f>
        <v/>
      </c>
      <c r="AB333" s="250" t="str">
        <f>IF((($A333="")*($B333=""))+((MID($Y333,1,4)&lt;&gt;"Wahl")*(Deckblatt!$C$14='WK-Vorlagen'!$C$82))+(Deckblatt!$C$14&lt;&gt;'WK-Vorlagen'!$C$82),"",IF(ISERROR(MATCH(VALUE(MID(H333,1,2)),Schwierigkeitsstufen!$G$7:$G$19,0)),"Gerät falsch",LOOKUP(VALUE(MID(H333,1,2)),Schwierigkeitsstufen!$G$7:$G$19,Schwierigkeitsstufen!$H$7:$H$19)))</f>
        <v/>
      </c>
      <c r="AC333" s="250" t="str">
        <f>IF((($A333="")*($B333=""))+((MID($Y333,1,4)&lt;&gt;"Wahl")*(Deckblatt!$C$14='WK-Vorlagen'!$C$82))+(Deckblatt!$C$14&lt;&gt;'WK-Vorlagen'!$C$82),"",IF(ISERROR(MATCH(VALUE(MID(I333,1,2)),Schwierigkeitsstufen!$G$7:$G$19,0)),"Gerät falsch",LOOKUP(VALUE(MID(I333,1,2)),Schwierigkeitsstufen!$G$7:$G$19,Schwierigkeitsstufen!$H$7:$H$19)))</f>
        <v/>
      </c>
      <c r="AD333" s="251" t="str">
        <f>IF((($A333="")*($B333=""))+((MID($Y333,1,4)&lt;&gt;"Wahl")*(Deckblatt!$C$14='WK-Vorlagen'!$C$82))+(Deckblatt!$C$14&lt;&gt;'WK-Vorlagen'!$C$82),"",IF(ISERROR(MATCH(VALUE(MID(J333,1,2)),Schwierigkeitsstufen!$G$7:$G$19,0)),"Gerät falsch",LOOKUP(VALUE(MID(J333,1,2)),Schwierigkeitsstufen!$G$7:$G$19,Schwierigkeitsstufen!$H$7:$H$19)))</f>
        <v/>
      </c>
      <c r="AE333" s="211"/>
      <c r="AG333" s="221" t="str">
        <f t="shared" si="45"/>
        <v/>
      </c>
      <c r="AH333" s="222" t="str">
        <f t="shared" si="47"/>
        <v/>
      </c>
      <c r="AI333" s="220">
        <f t="shared" si="52"/>
        <v>4</v>
      </c>
      <c r="AJ333" s="222">
        <f t="shared" si="48"/>
        <v>0</v>
      </c>
      <c r="AK333" s="299" t="str">
        <f>IF(ISERROR(LOOKUP(E333,WKNrListe,Übersicht!$R$7:$R$46)),"-",LOOKUP(E333,WKNrListe,Übersicht!$R$7:$R$46))</f>
        <v>-</v>
      </c>
      <c r="AL333" s="299" t="str">
        <f t="shared" si="51"/>
        <v>-</v>
      </c>
      <c r="AM333" s="303"/>
      <c r="AN333" s="174" t="str">
        <f t="shared" si="44"/>
        <v>Leer</v>
      </c>
    </row>
    <row r="334" spans="1:40" s="174" customFormat="1" ht="15" customHeight="1">
      <c r="A334" s="63"/>
      <c r="B334" s="63"/>
      <c r="C334" s="84"/>
      <c r="D334" s="85"/>
      <c r="E334" s="62"/>
      <c r="F334" s="62"/>
      <c r="G334" s="62"/>
      <c r="H334" s="62"/>
      <c r="I334" s="62"/>
      <c r="J334" s="62"/>
      <c r="K334" s="62"/>
      <c r="L334" s="62"/>
      <c r="M334" s="62"/>
      <c r="N334" s="62"/>
      <c r="O334" s="62"/>
      <c r="P334" s="62"/>
      <c r="Q334" s="62"/>
      <c r="R334" s="62"/>
      <c r="S334" s="258"/>
      <c r="T334" s="248" t="str">
        <f t="shared" si="49"/>
        <v/>
      </c>
      <c r="U334" s="249" t="str">
        <f t="shared" si="50"/>
        <v/>
      </c>
      <c r="V334" s="294" t="str">
        <f t="shared" si="46"/>
        <v/>
      </c>
      <c r="W334" s="294" t="str">
        <f>IF(((E334="")+(F334="")),"",IF(VLOOKUP(F334,Mannschaften!$A$1:$B$54,2,FALSE)&lt;&gt;E334,"Reiter Mannschaften füllen",""))</f>
        <v/>
      </c>
      <c r="X334" s="248" t="str">
        <f>IF(ISBLANK(C334),"",IF((U334&gt;(LOOKUP(E334,WKNrListe,Übersicht!$O$7:$O$46)))+(U334&lt;(LOOKUP(E334,WKNrListe,Übersicht!$P$7:$P$46))),"JG falsch",""))</f>
        <v/>
      </c>
      <c r="Y334" s="255" t="str">
        <f>IF((A334="")*(B334=""),"",IF(ISERROR(MATCH(E334,WKNrListe,0)),"WK falsch",LOOKUP(E334,WKNrListe,Übersicht!$B$7:$B$46)))</f>
        <v/>
      </c>
      <c r="Z334" s="269" t="str">
        <f>IF(((AJ334=0)*(AH334&lt;&gt;"")*(AK334="-"))+((AJ334&lt;&gt;0)*(AH334&lt;&gt;"")*(AK334="-")),IF(AG334="X",Übersicht!$C$70,Übersicht!$C$69),"-")</f>
        <v>-</v>
      </c>
      <c r="AA334" s="252" t="str">
        <f>IF((($A334="")*($B334=""))+((MID($Y334,1,4)&lt;&gt;"Wahl")*(Deckblatt!$C$14='WK-Vorlagen'!$C$82))+(Deckblatt!$C$14&lt;&gt;'WK-Vorlagen'!$C$82),"",IF(ISERROR(MATCH(VALUE(MID(G334,1,2)),Schwierigkeitsstufen!$G$7:$G$19,0)),"Gerät falsch",LOOKUP(VALUE(MID(G334,1,2)),Schwierigkeitsstufen!$G$7:$G$19,Schwierigkeitsstufen!$H$7:$H$19)))</f>
        <v/>
      </c>
      <c r="AB334" s="250" t="str">
        <f>IF((($A334="")*($B334=""))+((MID($Y334,1,4)&lt;&gt;"Wahl")*(Deckblatt!$C$14='WK-Vorlagen'!$C$82))+(Deckblatt!$C$14&lt;&gt;'WK-Vorlagen'!$C$82),"",IF(ISERROR(MATCH(VALUE(MID(H334,1,2)),Schwierigkeitsstufen!$G$7:$G$19,0)),"Gerät falsch",LOOKUP(VALUE(MID(H334,1,2)),Schwierigkeitsstufen!$G$7:$G$19,Schwierigkeitsstufen!$H$7:$H$19)))</f>
        <v/>
      </c>
      <c r="AC334" s="250" t="str">
        <f>IF((($A334="")*($B334=""))+((MID($Y334,1,4)&lt;&gt;"Wahl")*(Deckblatt!$C$14='WK-Vorlagen'!$C$82))+(Deckblatt!$C$14&lt;&gt;'WK-Vorlagen'!$C$82),"",IF(ISERROR(MATCH(VALUE(MID(I334,1,2)),Schwierigkeitsstufen!$G$7:$G$19,0)),"Gerät falsch",LOOKUP(VALUE(MID(I334,1,2)),Schwierigkeitsstufen!$G$7:$G$19,Schwierigkeitsstufen!$H$7:$H$19)))</f>
        <v/>
      </c>
      <c r="AD334" s="251" t="str">
        <f>IF((($A334="")*($B334=""))+((MID($Y334,1,4)&lt;&gt;"Wahl")*(Deckblatt!$C$14='WK-Vorlagen'!$C$82))+(Deckblatt!$C$14&lt;&gt;'WK-Vorlagen'!$C$82),"",IF(ISERROR(MATCH(VALUE(MID(J334,1,2)),Schwierigkeitsstufen!$G$7:$G$19,0)),"Gerät falsch",LOOKUP(VALUE(MID(J334,1,2)),Schwierigkeitsstufen!$G$7:$G$19,Schwierigkeitsstufen!$H$7:$H$19)))</f>
        <v/>
      </c>
      <c r="AE334" s="211"/>
      <c r="AG334" s="221" t="str">
        <f t="shared" si="45"/>
        <v/>
      </c>
      <c r="AH334" s="222" t="str">
        <f t="shared" si="47"/>
        <v/>
      </c>
      <c r="AI334" s="220">
        <f t="shared" si="52"/>
        <v>4</v>
      </c>
      <c r="AJ334" s="222">
        <f t="shared" si="48"/>
        <v>0</v>
      </c>
      <c r="AK334" s="299" t="str">
        <f>IF(ISERROR(LOOKUP(E334,WKNrListe,Übersicht!$R$7:$R$46)),"-",LOOKUP(E334,WKNrListe,Übersicht!$R$7:$R$46))</f>
        <v>-</v>
      </c>
      <c r="AL334" s="299" t="str">
        <f t="shared" si="51"/>
        <v>-</v>
      </c>
      <c r="AM334" s="303"/>
      <c r="AN334" s="174" t="str">
        <f t="shared" si="44"/>
        <v>Leer</v>
      </c>
    </row>
    <row r="335" spans="1:40" s="174" customFormat="1" ht="15" customHeight="1">
      <c r="A335" s="63"/>
      <c r="B335" s="63"/>
      <c r="C335" s="84"/>
      <c r="D335" s="85"/>
      <c r="E335" s="62"/>
      <c r="F335" s="62"/>
      <c r="G335" s="62"/>
      <c r="H335" s="62"/>
      <c r="I335" s="62"/>
      <c r="J335" s="62"/>
      <c r="K335" s="62"/>
      <c r="L335" s="62"/>
      <c r="M335" s="62"/>
      <c r="N335" s="62"/>
      <c r="O335" s="62"/>
      <c r="P335" s="62"/>
      <c r="Q335" s="62"/>
      <c r="R335" s="62"/>
      <c r="S335" s="258"/>
      <c r="T335" s="248" t="str">
        <f t="shared" si="49"/>
        <v/>
      </c>
      <c r="U335" s="249" t="str">
        <f t="shared" si="50"/>
        <v/>
      </c>
      <c r="V335" s="294" t="str">
        <f t="shared" si="46"/>
        <v/>
      </c>
      <c r="W335" s="294" t="str">
        <f>IF(((E335="")+(F335="")),"",IF(VLOOKUP(F335,Mannschaften!$A$1:$B$54,2,FALSE)&lt;&gt;E335,"Reiter Mannschaften füllen",""))</f>
        <v/>
      </c>
      <c r="X335" s="248" t="str">
        <f>IF(ISBLANK(C335),"",IF((U335&gt;(LOOKUP(E335,WKNrListe,Übersicht!$O$7:$O$46)))+(U335&lt;(LOOKUP(E335,WKNrListe,Übersicht!$P$7:$P$46))),"JG falsch",""))</f>
        <v/>
      </c>
      <c r="Y335" s="255" t="str">
        <f>IF((A335="")*(B335=""),"",IF(ISERROR(MATCH(E335,WKNrListe,0)),"WK falsch",LOOKUP(E335,WKNrListe,Übersicht!$B$7:$B$46)))</f>
        <v/>
      </c>
      <c r="Z335" s="269" t="str">
        <f>IF(((AJ335=0)*(AH335&lt;&gt;"")*(AK335="-"))+((AJ335&lt;&gt;0)*(AH335&lt;&gt;"")*(AK335="-")),IF(AG335="X",Übersicht!$C$70,Übersicht!$C$69),"-")</f>
        <v>-</v>
      </c>
      <c r="AA335" s="252" t="str">
        <f>IF((($A335="")*($B335=""))+((MID($Y335,1,4)&lt;&gt;"Wahl")*(Deckblatt!$C$14='WK-Vorlagen'!$C$82))+(Deckblatt!$C$14&lt;&gt;'WK-Vorlagen'!$C$82),"",IF(ISERROR(MATCH(VALUE(MID(G335,1,2)),Schwierigkeitsstufen!$G$7:$G$19,0)),"Gerät falsch",LOOKUP(VALUE(MID(G335,1,2)),Schwierigkeitsstufen!$G$7:$G$19,Schwierigkeitsstufen!$H$7:$H$19)))</f>
        <v/>
      </c>
      <c r="AB335" s="250" t="str">
        <f>IF((($A335="")*($B335=""))+((MID($Y335,1,4)&lt;&gt;"Wahl")*(Deckblatt!$C$14='WK-Vorlagen'!$C$82))+(Deckblatt!$C$14&lt;&gt;'WK-Vorlagen'!$C$82),"",IF(ISERROR(MATCH(VALUE(MID(H335,1,2)),Schwierigkeitsstufen!$G$7:$G$19,0)),"Gerät falsch",LOOKUP(VALUE(MID(H335,1,2)),Schwierigkeitsstufen!$G$7:$G$19,Schwierigkeitsstufen!$H$7:$H$19)))</f>
        <v/>
      </c>
      <c r="AC335" s="250" t="str">
        <f>IF((($A335="")*($B335=""))+((MID($Y335,1,4)&lt;&gt;"Wahl")*(Deckblatt!$C$14='WK-Vorlagen'!$C$82))+(Deckblatt!$C$14&lt;&gt;'WK-Vorlagen'!$C$82),"",IF(ISERROR(MATCH(VALUE(MID(I335,1,2)),Schwierigkeitsstufen!$G$7:$G$19,0)),"Gerät falsch",LOOKUP(VALUE(MID(I335,1,2)),Schwierigkeitsstufen!$G$7:$G$19,Schwierigkeitsstufen!$H$7:$H$19)))</f>
        <v/>
      </c>
      <c r="AD335" s="251" t="str">
        <f>IF((($A335="")*($B335=""))+((MID($Y335,1,4)&lt;&gt;"Wahl")*(Deckblatt!$C$14='WK-Vorlagen'!$C$82))+(Deckblatt!$C$14&lt;&gt;'WK-Vorlagen'!$C$82),"",IF(ISERROR(MATCH(VALUE(MID(J335,1,2)),Schwierigkeitsstufen!$G$7:$G$19,0)),"Gerät falsch",LOOKUP(VALUE(MID(J335,1,2)),Schwierigkeitsstufen!$G$7:$G$19,Schwierigkeitsstufen!$H$7:$H$19)))</f>
        <v/>
      </c>
      <c r="AE335" s="211"/>
      <c r="AG335" s="221" t="str">
        <f t="shared" si="45"/>
        <v/>
      </c>
      <c r="AH335" s="222" t="str">
        <f t="shared" si="47"/>
        <v/>
      </c>
      <c r="AI335" s="220">
        <f t="shared" si="52"/>
        <v>4</v>
      </c>
      <c r="AJ335" s="222">
        <f t="shared" si="48"/>
        <v>0</v>
      </c>
      <c r="AK335" s="299" t="str">
        <f>IF(ISERROR(LOOKUP(E335,WKNrListe,Übersicht!$R$7:$R$46)),"-",LOOKUP(E335,WKNrListe,Übersicht!$R$7:$R$46))</f>
        <v>-</v>
      </c>
      <c r="AL335" s="299" t="str">
        <f t="shared" si="51"/>
        <v>-</v>
      </c>
      <c r="AM335" s="303"/>
      <c r="AN335" s="174" t="str">
        <f t="shared" si="44"/>
        <v>Leer</v>
      </c>
    </row>
    <row r="336" spans="1:40" s="174" customFormat="1" ht="15" customHeight="1">
      <c r="A336" s="63"/>
      <c r="B336" s="63"/>
      <c r="C336" s="84"/>
      <c r="D336" s="85"/>
      <c r="E336" s="62"/>
      <c r="F336" s="62"/>
      <c r="G336" s="62"/>
      <c r="H336" s="62"/>
      <c r="I336" s="62"/>
      <c r="J336" s="62"/>
      <c r="K336" s="62"/>
      <c r="L336" s="62"/>
      <c r="M336" s="62"/>
      <c r="N336" s="62"/>
      <c r="O336" s="62"/>
      <c r="P336" s="62"/>
      <c r="Q336" s="62"/>
      <c r="R336" s="62"/>
      <c r="S336" s="258"/>
      <c r="T336" s="248" t="str">
        <f t="shared" si="49"/>
        <v/>
      </c>
      <c r="U336" s="249" t="str">
        <f t="shared" si="50"/>
        <v/>
      </c>
      <c r="V336" s="294" t="str">
        <f t="shared" si="46"/>
        <v/>
      </c>
      <c r="W336" s="294" t="str">
        <f>IF(((E336="")+(F336="")),"",IF(VLOOKUP(F336,Mannschaften!$A$1:$B$54,2,FALSE)&lt;&gt;E336,"Reiter Mannschaften füllen",""))</f>
        <v/>
      </c>
      <c r="X336" s="248" t="str">
        <f>IF(ISBLANK(C336),"",IF((U336&gt;(LOOKUP(E336,WKNrListe,Übersicht!$O$7:$O$46)))+(U336&lt;(LOOKUP(E336,WKNrListe,Übersicht!$P$7:$P$46))),"JG falsch",""))</f>
        <v/>
      </c>
      <c r="Y336" s="255" t="str">
        <f>IF((A336="")*(B336=""),"",IF(ISERROR(MATCH(E336,WKNrListe,0)),"WK falsch",LOOKUP(E336,WKNrListe,Übersicht!$B$7:$B$46)))</f>
        <v/>
      </c>
      <c r="Z336" s="269" t="str">
        <f>IF(((AJ336=0)*(AH336&lt;&gt;"")*(AK336="-"))+((AJ336&lt;&gt;0)*(AH336&lt;&gt;"")*(AK336="-")),IF(AG336="X",Übersicht!$C$70,Übersicht!$C$69),"-")</f>
        <v>-</v>
      </c>
      <c r="AA336" s="252" t="str">
        <f>IF((($A336="")*($B336=""))+((MID($Y336,1,4)&lt;&gt;"Wahl")*(Deckblatt!$C$14='WK-Vorlagen'!$C$82))+(Deckblatt!$C$14&lt;&gt;'WK-Vorlagen'!$C$82),"",IF(ISERROR(MATCH(VALUE(MID(G336,1,2)),Schwierigkeitsstufen!$G$7:$G$19,0)),"Gerät falsch",LOOKUP(VALUE(MID(G336,1,2)),Schwierigkeitsstufen!$G$7:$G$19,Schwierigkeitsstufen!$H$7:$H$19)))</f>
        <v/>
      </c>
      <c r="AB336" s="250" t="str">
        <f>IF((($A336="")*($B336=""))+((MID($Y336,1,4)&lt;&gt;"Wahl")*(Deckblatt!$C$14='WK-Vorlagen'!$C$82))+(Deckblatt!$C$14&lt;&gt;'WK-Vorlagen'!$C$82),"",IF(ISERROR(MATCH(VALUE(MID(H336,1,2)),Schwierigkeitsstufen!$G$7:$G$19,0)),"Gerät falsch",LOOKUP(VALUE(MID(H336,1,2)),Schwierigkeitsstufen!$G$7:$G$19,Schwierigkeitsstufen!$H$7:$H$19)))</f>
        <v/>
      </c>
      <c r="AC336" s="250" t="str">
        <f>IF((($A336="")*($B336=""))+((MID($Y336,1,4)&lt;&gt;"Wahl")*(Deckblatt!$C$14='WK-Vorlagen'!$C$82))+(Deckblatt!$C$14&lt;&gt;'WK-Vorlagen'!$C$82),"",IF(ISERROR(MATCH(VALUE(MID(I336,1,2)),Schwierigkeitsstufen!$G$7:$G$19,0)),"Gerät falsch",LOOKUP(VALUE(MID(I336,1,2)),Schwierigkeitsstufen!$G$7:$G$19,Schwierigkeitsstufen!$H$7:$H$19)))</f>
        <v/>
      </c>
      <c r="AD336" s="251" t="str">
        <f>IF((($A336="")*($B336=""))+((MID($Y336,1,4)&lt;&gt;"Wahl")*(Deckblatt!$C$14='WK-Vorlagen'!$C$82))+(Deckblatt!$C$14&lt;&gt;'WK-Vorlagen'!$C$82),"",IF(ISERROR(MATCH(VALUE(MID(J336,1,2)),Schwierigkeitsstufen!$G$7:$G$19,0)),"Gerät falsch",LOOKUP(VALUE(MID(J336,1,2)),Schwierigkeitsstufen!$G$7:$G$19,Schwierigkeitsstufen!$H$7:$H$19)))</f>
        <v/>
      </c>
      <c r="AE336" s="211"/>
      <c r="AG336" s="221" t="str">
        <f t="shared" si="45"/>
        <v/>
      </c>
      <c r="AH336" s="222" t="str">
        <f t="shared" si="47"/>
        <v/>
      </c>
      <c r="AI336" s="220">
        <f t="shared" si="52"/>
        <v>4</v>
      </c>
      <c r="AJ336" s="222">
        <f t="shared" si="48"/>
        <v>0</v>
      </c>
      <c r="AK336" s="299" t="str">
        <f>IF(ISERROR(LOOKUP(E336,WKNrListe,Übersicht!$R$7:$R$46)),"-",LOOKUP(E336,WKNrListe,Übersicht!$R$7:$R$46))</f>
        <v>-</v>
      </c>
      <c r="AL336" s="299" t="str">
        <f t="shared" si="51"/>
        <v>-</v>
      </c>
      <c r="AM336" s="303"/>
      <c r="AN336" s="174" t="str">
        <f t="shared" si="44"/>
        <v>Leer</v>
      </c>
    </row>
    <row r="337" spans="1:40" s="174" customFormat="1" ht="15" customHeight="1">
      <c r="A337" s="63"/>
      <c r="B337" s="63"/>
      <c r="C337" s="84"/>
      <c r="D337" s="85"/>
      <c r="E337" s="62"/>
      <c r="F337" s="62"/>
      <c r="G337" s="62"/>
      <c r="H337" s="62"/>
      <c r="I337" s="62"/>
      <c r="J337" s="62"/>
      <c r="K337" s="62"/>
      <c r="L337" s="62"/>
      <c r="M337" s="62"/>
      <c r="N337" s="62"/>
      <c r="O337" s="62"/>
      <c r="P337" s="62"/>
      <c r="Q337" s="62"/>
      <c r="R337" s="62"/>
      <c r="S337" s="258"/>
      <c r="T337" s="248" t="str">
        <f t="shared" si="49"/>
        <v/>
      </c>
      <c r="U337" s="249" t="str">
        <f t="shared" si="50"/>
        <v/>
      </c>
      <c r="V337" s="294" t="str">
        <f t="shared" si="46"/>
        <v/>
      </c>
      <c r="W337" s="294" t="str">
        <f>IF(((E337="")+(F337="")),"",IF(VLOOKUP(F337,Mannschaften!$A$1:$B$54,2,FALSE)&lt;&gt;E337,"Reiter Mannschaften füllen",""))</f>
        <v/>
      </c>
      <c r="X337" s="248" t="str">
        <f>IF(ISBLANK(C337),"",IF((U337&gt;(LOOKUP(E337,WKNrListe,Übersicht!$O$7:$O$46)))+(U337&lt;(LOOKUP(E337,WKNrListe,Übersicht!$P$7:$P$46))),"JG falsch",""))</f>
        <v/>
      </c>
      <c r="Y337" s="255" t="str">
        <f>IF((A337="")*(B337=""),"",IF(ISERROR(MATCH(E337,WKNrListe,0)),"WK falsch",LOOKUP(E337,WKNrListe,Übersicht!$B$7:$B$46)))</f>
        <v/>
      </c>
      <c r="Z337" s="269" t="str">
        <f>IF(((AJ337=0)*(AH337&lt;&gt;"")*(AK337="-"))+((AJ337&lt;&gt;0)*(AH337&lt;&gt;"")*(AK337="-")),IF(AG337="X",Übersicht!$C$70,Übersicht!$C$69),"-")</f>
        <v>-</v>
      </c>
      <c r="AA337" s="252" t="str">
        <f>IF((($A337="")*($B337=""))+((MID($Y337,1,4)&lt;&gt;"Wahl")*(Deckblatt!$C$14='WK-Vorlagen'!$C$82))+(Deckblatt!$C$14&lt;&gt;'WK-Vorlagen'!$C$82),"",IF(ISERROR(MATCH(VALUE(MID(G337,1,2)),Schwierigkeitsstufen!$G$7:$G$19,0)),"Gerät falsch",LOOKUP(VALUE(MID(G337,1,2)),Schwierigkeitsstufen!$G$7:$G$19,Schwierigkeitsstufen!$H$7:$H$19)))</f>
        <v/>
      </c>
      <c r="AB337" s="250" t="str">
        <f>IF((($A337="")*($B337=""))+((MID($Y337,1,4)&lt;&gt;"Wahl")*(Deckblatt!$C$14='WK-Vorlagen'!$C$82))+(Deckblatt!$C$14&lt;&gt;'WK-Vorlagen'!$C$82),"",IF(ISERROR(MATCH(VALUE(MID(H337,1,2)),Schwierigkeitsstufen!$G$7:$G$19,0)),"Gerät falsch",LOOKUP(VALUE(MID(H337,1,2)),Schwierigkeitsstufen!$G$7:$G$19,Schwierigkeitsstufen!$H$7:$H$19)))</f>
        <v/>
      </c>
      <c r="AC337" s="250" t="str">
        <f>IF((($A337="")*($B337=""))+((MID($Y337,1,4)&lt;&gt;"Wahl")*(Deckblatt!$C$14='WK-Vorlagen'!$C$82))+(Deckblatt!$C$14&lt;&gt;'WK-Vorlagen'!$C$82),"",IF(ISERROR(MATCH(VALUE(MID(I337,1,2)),Schwierigkeitsstufen!$G$7:$G$19,0)),"Gerät falsch",LOOKUP(VALUE(MID(I337,1,2)),Schwierigkeitsstufen!$G$7:$G$19,Schwierigkeitsstufen!$H$7:$H$19)))</f>
        <v/>
      </c>
      <c r="AD337" s="251" t="str">
        <f>IF((($A337="")*($B337=""))+((MID($Y337,1,4)&lt;&gt;"Wahl")*(Deckblatt!$C$14='WK-Vorlagen'!$C$82))+(Deckblatt!$C$14&lt;&gt;'WK-Vorlagen'!$C$82),"",IF(ISERROR(MATCH(VALUE(MID(J337,1,2)),Schwierigkeitsstufen!$G$7:$G$19,0)),"Gerät falsch",LOOKUP(VALUE(MID(J337,1,2)),Schwierigkeitsstufen!$G$7:$G$19,Schwierigkeitsstufen!$H$7:$H$19)))</f>
        <v/>
      </c>
      <c r="AE337" s="211"/>
      <c r="AG337" s="221" t="str">
        <f t="shared" si="45"/>
        <v/>
      </c>
      <c r="AH337" s="222" t="str">
        <f t="shared" si="47"/>
        <v/>
      </c>
      <c r="AI337" s="220">
        <f t="shared" si="52"/>
        <v>4</v>
      </c>
      <c r="AJ337" s="222">
        <f t="shared" si="48"/>
        <v>0</v>
      </c>
      <c r="AK337" s="299" t="str">
        <f>IF(ISERROR(LOOKUP(E337,WKNrListe,Übersicht!$R$7:$R$46)),"-",LOOKUP(E337,WKNrListe,Übersicht!$R$7:$R$46))</f>
        <v>-</v>
      </c>
      <c r="AL337" s="299" t="str">
        <f t="shared" si="51"/>
        <v>-</v>
      </c>
      <c r="AM337" s="303"/>
      <c r="AN337" s="174" t="str">
        <f t="shared" si="44"/>
        <v>Leer</v>
      </c>
    </row>
    <row r="338" spans="1:40" s="174" customFormat="1" ht="15" customHeight="1">
      <c r="A338" s="63"/>
      <c r="B338" s="63"/>
      <c r="C338" s="84"/>
      <c r="D338" s="85"/>
      <c r="E338" s="62"/>
      <c r="F338" s="62"/>
      <c r="G338" s="62"/>
      <c r="H338" s="62"/>
      <c r="I338" s="62"/>
      <c r="J338" s="62"/>
      <c r="K338" s="62"/>
      <c r="L338" s="62"/>
      <c r="M338" s="62"/>
      <c r="N338" s="62"/>
      <c r="O338" s="62"/>
      <c r="P338" s="62"/>
      <c r="Q338" s="62"/>
      <c r="R338" s="62"/>
      <c r="S338" s="258"/>
      <c r="T338" s="248" t="str">
        <f t="shared" si="49"/>
        <v/>
      </c>
      <c r="U338" s="249" t="str">
        <f t="shared" si="50"/>
        <v/>
      </c>
      <c r="V338" s="294" t="str">
        <f t="shared" si="46"/>
        <v/>
      </c>
      <c r="W338" s="294" t="str">
        <f>IF(((E338="")+(F338="")),"",IF(VLOOKUP(F338,Mannschaften!$A$1:$B$54,2,FALSE)&lt;&gt;E338,"Reiter Mannschaften füllen",""))</f>
        <v/>
      </c>
      <c r="X338" s="248" t="str">
        <f>IF(ISBLANK(C338),"",IF((U338&gt;(LOOKUP(E338,WKNrListe,Übersicht!$O$7:$O$46)))+(U338&lt;(LOOKUP(E338,WKNrListe,Übersicht!$P$7:$P$46))),"JG falsch",""))</f>
        <v/>
      </c>
      <c r="Y338" s="255" t="str">
        <f>IF((A338="")*(B338=""),"",IF(ISERROR(MATCH(E338,WKNrListe,0)),"WK falsch",LOOKUP(E338,WKNrListe,Übersicht!$B$7:$B$46)))</f>
        <v/>
      </c>
      <c r="Z338" s="269" t="str">
        <f>IF(((AJ338=0)*(AH338&lt;&gt;"")*(AK338="-"))+((AJ338&lt;&gt;0)*(AH338&lt;&gt;"")*(AK338="-")),IF(AG338="X",Übersicht!$C$70,Übersicht!$C$69),"-")</f>
        <v>-</v>
      </c>
      <c r="AA338" s="252" t="str">
        <f>IF((($A338="")*($B338=""))+((MID($Y338,1,4)&lt;&gt;"Wahl")*(Deckblatt!$C$14='WK-Vorlagen'!$C$82))+(Deckblatt!$C$14&lt;&gt;'WK-Vorlagen'!$C$82),"",IF(ISERROR(MATCH(VALUE(MID(G338,1,2)),Schwierigkeitsstufen!$G$7:$G$19,0)),"Gerät falsch",LOOKUP(VALUE(MID(G338,1,2)),Schwierigkeitsstufen!$G$7:$G$19,Schwierigkeitsstufen!$H$7:$H$19)))</f>
        <v/>
      </c>
      <c r="AB338" s="250" t="str">
        <f>IF((($A338="")*($B338=""))+((MID($Y338,1,4)&lt;&gt;"Wahl")*(Deckblatt!$C$14='WK-Vorlagen'!$C$82))+(Deckblatt!$C$14&lt;&gt;'WK-Vorlagen'!$C$82),"",IF(ISERROR(MATCH(VALUE(MID(H338,1,2)),Schwierigkeitsstufen!$G$7:$G$19,0)),"Gerät falsch",LOOKUP(VALUE(MID(H338,1,2)),Schwierigkeitsstufen!$G$7:$G$19,Schwierigkeitsstufen!$H$7:$H$19)))</f>
        <v/>
      </c>
      <c r="AC338" s="250" t="str">
        <f>IF((($A338="")*($B338=""))+((MID($Y338,1,4)&lt;&gt;"Wahl")*(Deckblatt!$C$14='WK-Vorlagen'!$C$82))+(Deckblatt!$C$14&lt;&gt;'WK-Vorlagen'!$C$82),"",IF(ISERROR(MATCH(VALUE(MID(I338,1,2)),Schwierigkeitsstufen!$G$7:$G$19,0)),"Gerät falsch",LOOKUP(VALUE(MID(I338,1,2)),Schwierigkeitsstufen!$G$7:$G$19,Schwierigkeitsstufen!$H$7:$H$19)))</f>
        <v/>
      </c>
      <c r="AD338" s="251" t="str">
        <f>IF((($A338="")*($B338=""))+((MID($Y338,1,4)&lt;&gt;"Wahl")*(Deckblatt!$C$14='WK-Vorlagen'!$C$82))+(Deckblatt!$C$14&lt;&gt;'WK-Vorlagen'!$C$82),"",IF(ISERROR(MATCH(VALUE(MID(J338,1,2)),Schwierigkeitsstufen!$G$7:$G$19,0)),"Gerät falsch",LOOKUP(VALUE(MID(J338,1,2)),Schwierigkeitsstufen!$G$7:$G$19,Schwierigkeitsstufen!$H$7:$H$19)))</f>
        <v/>
      </c>
      <c r="AE338" s="211"/>
      <c r="AG338" s="221" t="str">
        <f t="shared" si="45"/>
        <v/>
      </c>
      <c r="AH338" s="222" t="str">
        <f t="shared" si="47"/>
        <v/>
      </c>
      <c r="AI338" s="220">
        <f t="shared" si="52"/>
        <v>4</v>
      </c>
      <c r="AJ338" s="222">
        <f t="shared" si="48"/>
        <v>0</v>
      </c>
      <c r="AK338" s="299" t="str">
        <f>IF(ISERROR(LOOKUP(E338,WKNrListe,Übersicht!$R$7:$R$46)),"-",LOOKUP(E338,WKNrListe,Übersicht!$R$7:$R$46))</f>
        <v>-</v>
      </c>
      <c r="AL338" s="299" t="str">
        <f t="shared" si="51"/>
        <v>-</v>
      </c>
      <c r="AM338" s="303"/>
      <c r="AN338" s="174" t="str">
        <f t="shared" si="44"/>
        <v>Leer</v>
      </c>
    </row>
    <row r="339" spans="1:40" s="174" customFormat="1" ht="15" customHeight="1">
      <c r="A339" s="63"/>
      <c r="B339" s="63"/>
      <c r="C339" s="84"/>
      <c r="D339" s="85"/>
      <c r="E339" s="62"/>
      <c r="F339" s="62"/>
      <c r="G339" s="62"/>
      <c r="H339" s="62"/>
      <c r="I339" s="62"/>
      <c r="J339" s="62"/>
      <c r="K339" s="62"/>
      <c r="L339" s="62"/>
      <c r="M339" s="62"/>
      <c r="N339" s="62"/>
      <c r="O339" s="62"/>
      <c r="P339" s="62"/>
      <c r="Q339" s="62"/>
      <c r="R339" s="62"/>
      <c r="S339" s="258"/>
      <c r="T339" s="248" t="str">
        <f t="shared" si="49"/>
        <v/>
      </c>
      <c r="U339" s="249" t="str">
        <f t="shared" si="50"/>
        <v/>
      </c>
      <c r="V339" s="294" t="str">
        <f t="shared" si="46"/>
        <v/>
      </c>
      <c r="W339" s="294" t="str">
        <f>IF(((E339="")+(F339="")),"",IF(VLOOKUP(F339,Mannschaften!$A$1:$B$54,2,FALSE)&lt;&gt;E339,"Reiter Mannschaften füllen",""))</f>
        <v/>
      </c>
      <c r="X339" s="248" t="str">
        <f>IF(ISBLANK(C339),"",IF((U339&gt;(LOOKUP(E339,WKNrListe,Übersicht!$O$7:$O$46)))+(U339&lt;(LOOKUP(E339,WKNrListe,Übersicht!$P$7:$P$46))),"JG falsch",""))</f>
        <v/>
      </c>
      <c r="Y339" s="255" t="str">
        <f>IF((A339="")*(B339=""),"",IF(ISERROR(MATCH(E339,WKNrListe,0)),"WK falsch",LOOKUP(E339,WKNrListe,Übersicht!$B$7:$B$46)))</f>
        <v/>
      </c>
      <c r="Z339" s="269" t="str">
        <f>IF(((AJ339=0)*(AH339&lt;&gt;"")*(AK339="-"))+((AJ339&lt;&gt;0)*(AH339&lt;&gt;"")*(AK339="-")),IF(AG339="X",Übersicht!$C$70,Übersicht!$C$69),"-")</f>
        <v>-</v>
      </c>
      <c r="AA339" s="252" t="str">
        <f>IF((($A339="")*($B339=""))+((MID($Y339,1,4)&lt;&gt;"Wahl")*(Deckblatt!$C$14='WK-Vorlagen'!$C$82))+(Deckblatt!$C$14&lt;&gt;'WK-Vorlagen'!$C$82),"",IF(ISERROR(MATCH(VALUE(MID(G339,1,2)),Schwierigkeitsstufen!$G$7:$G$19,0)),"Gerät falsch",LOOKUP(VALUE(MID(G339,1,2)),Schwierigkeitsstufen!$G$7:$G$19,Schwierigkeitsstufen!$H$7:$H$19)))</f>
        <v/>
      </c>
      <c r="AB339" s="250" t="str">
        <f>IF((($A339="")*($B339=""))+((MID($Y339,1,4)&lt;&gt;"Wahl")*(Deckblatt!$C$14='WK-Vorlagen'!$C$82))+(Deckblatt!$C$14&lt;&gt;'WK-Vorlagen'!$C$82),"",IF(ISERROR(MATCH(VALUE(MID(H339,1,2)),Schwierigkeitsstufen!$G$7:$G$19,0)),"Gerät falsch",LOOKUP(VALUE(MID(H339,1,2)),Schwierigkeitsstufen!$G$7:$G$19,Schwierigkeitsstufen!$H$7:$H$19)))</f>
        <v/>
      </c>
      <c r="AC339" s="250" t="str">
        <f>IF((($A339="")*($B339=""))+((MID($Y339,1,4)&lt;&gt;"Wahl")*(Deckblatt!$C$14='WK-Vorlagen'!$C$82))+(Deckblatt!$C$14&lt;&gt;'WK-Vorlagen'!$C$82),"",IF(ISERROR(MATCH(VALUE(MID(I339,1,2)),Schwierigkeitsstufen!$G$7:$G$19,0)),"Gerät falsch",LOOKUP(VALUE(MID(I339,1,2)),Schwierigkeitsstufen!$G$7:$G$19,Schwierigkeitsstufen!$H$7:$H$19)))</f>
        <v/>
      </c>
      <c r="AD339" s="251" t="str">
        <f>IF((($A339="")*($B339=""))+((MID($Y339,1,4)&lt;&gt;"Wahl")*(Deckblatt!$C$14='WK-Vorlagen'!$C$82))+(Deckblatt!$C$14&lt;&gt;'WK-Vorlagen'!$C$82),"",IF(ISERROR(MATCH(VALUE(MID(J339,1,2)),Schwierigkeitsstufen!$G$7:$G$19,0)),"Gerät falsch",LOOKUP(VALUE(MID(J339,1,2)),Schwierigkeitsstufen!$G$7:$G$19,Schwierigkeitsstufen!$H$7:$H$19)))</f>
        <v/>
      </c>
      <c r="AE339" s="211"/>
      <c r="AG339" s="221" t="str">
        <f t="shared" si="45"/>
        <v/>
      </c>
      <c r="AH339" s="222" t="str">
        <f t="shared" si="47"/>
        <v/>
      </c>
      <c r="AI339" s="220">
        <f t="shared" si="52"/>
        <v>4</v>
      </c>
      <c r="AJ339" s="222">
        <f t="shared" si="48"/>
        <v>0</v>
      </c>
      <c r="AK339" s="299" t="str">
        <f>IF(ISERROR(LOOKUP(E339,WKNrListe,Übersicht!$R$7:$R$46)),"-",LOOKUP(E339,WKNrListe,Übersicht!$R$7:$R$46))</f>
        <v>-</v>
      </c>
      <c r="AL339" s="299" t="str">
        <f t="shared" si="51"/>
        <v>-</v>
      </c>
      <c r="AM339" s="303"/>
      <c r="AN339" s="174" t="str">
        <f t="shared" si="44"/>
        <v>Leer</v>
      </c>
    </row>
    <row r="340" spans="1:40" s="174" customFormat="1" ht="15" customHeight="1">
      <c r="A340" s="63"/>
      <c r="B340" s="63"/>
      <c r="C340" s="84"/>
      <c r="D340" s="85"/>
      <c r="E340" s="62"/>
      <c r="F340" s="62"/>
      <c r="G340" s="62"/>
      <c r="H340" s="62"/>
      <c r="I340" s="62"/>
      <c r="J340" s="62"/>
      <c r="K340" s="62"/>
      <c r="L340" s="62"/>
      <c r="M340" s="62"/>
      <c r="N340" s="62"/>
      <c r="O340" s="62"/>
      <c r="P340" s="62"/>
      <c r="Q340" s="62"/>
      <c r="R340" s="62"/>
      <c r="S340" s="258"/>
      <c r="T340" s="248" t="str">
        <f t="shared" si="49"/>
        <v/>
      </c>
      <c r="U340" s="249" t="str">
        <f t="shared" si="50"/>
        <v/>
      </c>
      <c r="V340" s="294" t="str">
        <f t="shared" si="46"/>
        <v/>
      </c>
      <c r="W340" s="294" t="str">
        <f>IF(((E340="")+(F340="")),"",IF(VLOOKUP(F340,Mannschaften!$A$1:$B$54,2,FALSE)&lt;&gt;E340,"Reiter Mannschaften füllen",""))</f>
        <v/>
      </c>
      <c r="X340" s="248" t="str">
        <f>IF(ISBLANK(C340),"",IF((U340&gt;(LOOKUP(E340,WKNrListe,Übersicht!$O$7:$O$46)))+(U340&lt;(LOOKUP(E340,WKNrListe,Übersicht!$P$7:$P$46))),"JG falsch",""))</f>
        <v/>
      </c>
      <c r="Y340" s="255" t="str">
        <f>IF((A340="")*(B340=""),"",IF(ISERROR(MATCH(E340,WKNrListe,0)),"WK falsch",LOOKUP(E340,WKNrListe,Übersicht!$B$7:$B$46)))</f>
        <v/>
      </c>
      <c r="Z340" s="269" t="str">
        <f>IF(((AJ340=0)*(AH340&lt;&gt;"")*(AK340="-"))+((AJ340&lt;&gt;0)*(AH340&lt;&gt;"")*(AK340="-")),IF(AG340="X",Übersicht!$C$70,Übersicht!$C$69),"-")</f>
        <v>-</v>
      </c>
      <c r="AA340" s="252" t="str">
        <f>IF((($A340="")*($B340=""))+((MID($Y340,1,4)&lt;&gt;"Wahl")*(Deckblatt!$C$14='WK-Vorlagen'!$C$82))+(Deckblatt!$C$14&lt;&gt;'WK-Vorlagen'!$C$82),"",IF(ISERROR(MATCH(VALUE(MID(G340,1,2)),Schwierigkeitsstufen!$G$7:$G$19,0)),"Gerät falsch",LOOKUP(VALUE(MID(G340,1,2)),Schwierigkeitsstufen!$G$7:$G$19,Schwierigkeitsstufen!$H$7:$H$19)))</f>
        <v/>
      </c>
      <c r="AB340" s="250" t="str">
        <f>IF((($A340="")*($B340=""))+((MID($Y340,1,4)&lt;&gt;"Wahl")*(Deckblatt!$C$14='WK-Vorlagen'!$C$82))+(Deckblatt!$C$14&lt;&gt;'WK-Vorlagen'!$C$82),"",IF(ISERROR(MATCH(VALUE(MID(H340,1,2)),Schwierigkeitsstufen!$G$7:$G$19,0)),"Gerät falsch",LOOKUP(VALUE(MID(H340,1,2)),Schwierigkeitsstufen!$G$7:$G$19,Schwierigkeitsstufen!$H$7:$H$19)))</f>
        <v/>
      </c>
      <c r="AC340" s="250" t="str">
        <f>IF((($A340="")*($B340=""))+((MID($Y340,1,4)&lt;&gt;"Wahl")*(Deckblatt!$C$14='WK-Vorlagen'!$C$82))+(Deckblatt!$C$14&lt;&gt;'WK-Vorlagen'!$C$82),"",IF(ISERROR(MATCH(VALUE(MID(I340,1,2)),Schwierigkeitsstufen!$G$7:$G$19,0)),"Gerät falsch",LOOKUP(VALUE(MID(I340,1,2)),Schwierigkeitsstufen!$G$7:$G$19,Schwierigkeitsstufen!$H$7:$H$19)))</f>
        <v/>
      </c>
      <c r="AD340" s="251" t="str">
        <f>IF((($A340="")*($B340=""))+((MID($Y340,1,4)&lt;&gt;"Wahl")*(Deckblatt!$C$14='WK-Vorlagen'!$C$82))+(Deckblatt!$C$14&lt;&gt;'WK-Vorlagen'!$C$82),"",IF(ISERROR(MATCH(VALUE(MID(J340,1,2)),Schwierigkeitsstufen!$G$7:$G$19,0)),"Gerät falsch",LOOKUP(VALUE(MID(J340,1,2)),Schwierigkeitsstufen!$G$7:$G$19,Schwierigkeitsstufen!$H$7:$H$19)))</f>
        <v/>
      </c>
      <c r="AE340" s="211"/>
      <c r="AG340" s="221" t="str">
        <f t="shared" si="45"/>
        <v/>
      </c>
      <c r="AH340" s="222" t="str">
        <f t="shared" si="47"/>
        <v/>
      </c>
      <c r="AI340" s="220">
        <f t="shared" si="52"/>
        <v>4</v>
      </c>
      <c r="AJ340" s="222">
        <f t="shared" si="48"/>
        <v>0</v>
      </c>
      <c r="AK340" s="299" t="str">
        <f>IF(ISERROR(LOOKUP(E340,WKNrListe,Übersicht!$R$7:$R$46)),"-",LOOKUP(E340,WKNrListe,Übersicht!$R$7:$R$46))</f>
        <v>-</v>
      </c>
      <c r="AL340" s="299" t="str">
        <f t="shared" si="51"/>
        <v>-</v>
      </c>
      <c r="AM340" s="303"/>
      <c r="AN340" s="174" t="str">
        <f t="shared" si="44"/>
        <v>Leer</v>
      </c>
    </row>
    <row r="341" spans="1:40" s="174" customFormat="1" ht="15" customHeight="1">
      <c r="A341" s="63"/>
      <c r="B341" s="63"/>
      <c r="C341" s="84"/>
      <c r="D341" s="85"/>
      <c r="E341" s="62"/>
      <c r="F341" s="62"/>
      <c r="G341" s="62"/>
      <c r="H341" s="62"/>
      <c r="I341" s="62"/>
      <c r="J341" s="62"/>
      <c r="K341" s="62"/>
      <c r="L341" s="62"/>
      <c r="M341" s="62"/>
      <c r="N341" s="62"/>
      <c r="O341" s="62"/>
      <c r="P341" s="62"/>
      <c r="Q341" s="62"/>
      <c r="R341" s="62"/>
      <c r="S341" s="258"/>
      <c r="T341" s="248" t="str">
        <f t="shared" si="49"/>
        <v/>
      </c>
      <c r="U341" s="249" t="str">
        <f t="shared" si="50"/>
        <v/>
      </c>
      <c r="V341" s="294" t="str">
        <f t="shared" si="46"/>
        <v/>
      </c>
      <c r="W341" s="294" t="str">
        <f>IF(((E341="")+(F341="")),"",IF(VLOOKUP(F341,Mannschaften!$A$1:$B$54,2,FALSE)&lt;&gt;E341,"Reiter Mannschaften füllen",""))</f>
        <v/>
      </c>
      <c r="X341" s="248" t="str">
        <f>IF(ISBLANK(C341),"",IF((U341&gt;(LOOKUP(E341,WKNrListe,Übersicht!$O$7:$O$46)))+(U341&lt;(LOOKUP(E341,WKNrListe,Übersicht!$P$7:$P$46))),"JG falsch",""))</f>
        <v/>
      </c>
      <c r="Y341" s="255" t="str">
        <f>IF((A341="")*(B341=""),"",IF(ISERROR(MATCH(E341,WKNrListe,0)),"WK falsch",LOOKUP(E341,WKNrListe,Übersicht!$B$7:$B$46)))</f>
        <v/>
      </c>
      <c r="Z341" s="269" t="str">
        <f>IF(((AJ341=0)*(AH341&lt;&gt;"")*(AK341="-"))+((AJ341&lt;&gt;0)*(AH341&lt;&gt;"")*(AK341="-")),IF(AG341="X",Übersicht!$C$70,Übersicht!$C$69),"-")</f>
        <v>-</v>
      </c>
      <c r="AA341" s="252" t="str">
        <f>IF((($A341="")*($B341=""))+((MID($Y341,1,4)&lt;&gt;"Wahl")*(Deckblatt!$C$14='WK-Vorlagen'!$C$82))+(Deckblatt!$C$14&lt;&gt;'WK-Vorlagen'!$C$82),"",IF(ISERROR(MATCH(VALUE(MID(G341,1,2)),Schwierigkeitsstufen!$G$7:$G$19,0)),"Gerät falsch",LOOKUP(VALUE(MID(G341,1,2)),Schwierigkeitsstufen!$G$7:$G$19,Schwierigkeitsstufen!$H$7:$H$19)))</f>
        <v/>
      </c>
      <c r="AB341" s="250" t="str">
        <f>IF((($A341="")*($B341=""))+((MID($Y341,1,4)&lt;&gt;"Wahl")*(Deckblatt!$C$14='WK-Vorlagen'!$C$82))+(Deckblatt!$C$14&lt;&gt;'WK-Vorlagen'!$C$82),"",IF(ISERROR(MATCH(VALUE(MID(H341,1,2)),Schwierigkeitsstufen!$G$7:$G$19,0)),"Gerät falsch",LOOKUP(VALUE(MID(H341,1,2)),Schwierigkeitsstufen!$G$7:$G$19,Schwierigkeitsstufen!$H$7:$H$19)))</f>
        <v/>
      </c>
      <c r="AC341" s="250" t="str">
        <f>IF((($A341="")*($B341=""))+((MID($Y341,1,4)&lt;&gt;"Wahl")*(Deckblatt!$C$14='WK-Vorlagen'!$C$82))+(Deckblatt!$C$14&lt;&gt;'WK-Vorlagen'!$C$82),"",IF(ISERROR(MATCH(VALUE(MID(I341,1,2)),Schwierigkeitsstufen!$G$7:$G$19,0)),"Gerät falsch",LOOKUP(VALUE(MID(I341,1,2)),Schwierigkeitsstufen!$G$7:$G$19,Schwierigkeitsstufen!$H$7:$H$19)))</f>
        <v/>
      </c>
      <c r="AD341" s="251" t="str">
        <f>IF((($A341="")*($B341=""))+((MID($Y341,1,4)&lt;&gt;"Wahl")*(Deckblatt!$C$14='WK-Vorlagen'!$C$82))+(Deckblatt!$C$14&lt;&gt;'WK-Vorlagen'!$C$82),"",IF(ISERROR(MATCH(VALUE(MID(J341,1,2)),Schwierigkeitsstufen!$G$7:$G$19,0)),"Gerät falsch",LOOKUP(VALUE(MID(J341,1,2)),Schwierigkeitsstufen!$G$7:$G$19,Schwierigkeitsstufen!$H$7:$H$19)))</f>
        <v/>
      </c>
      <c r="AE341" s="211"/>
      <c r="AG341" s="221" t="str">
        <f t="shared" si="45"/>
        <v/>
      </c>
      <c r="AH341" s="222" t="str">
        <f t="shared" si="47"/>
        <v/>
      </c>
      <c r="AI341" s="220">
        <f t="shared" si="52"/>
        <v>4</v>
      </c>
      <c r="AJ341" s="222">
        <f t="shared" si="48"/>
        <v>0</v>
      </c>
      <c r="AK341" s="299" t="str">
        <f>IF(ISERROR(LOOKUP(E341,WKNrListe,Übersicht!$R$7:$R$46)),"-",LOOKUP(E341,WKNrListe,Übersicht!$R$7:$R$46))</f>
        <v>-</v>
      </c>
      <c r="AL341" s="299" t="str">
        <f t="shared" si="51"/>
        <v>-</v>
      </c>
      <c r="AM341" s="303"/>
      <c r="AN341" s="174" t="str">
        <f t="shared" si="44"/>
        <v>Leer</v>
      </c>
    </row>
    <row r="342" spans="1:40" s="174" customFormat="1" ht="15" customHeight="1">
      <c r="A342" s="63"/>
      <c r="B342" s="63"/>
      <c r="C342" s="84"/>
      <c r="D342" s="85"/>
      <c r="E342" s="62"/>
      <c r="F342" s="62"/>
      <c r="G342" s="62"/>
      <c r="H342" s="62"/>
      <c r="I342" s="62"/>
      <c r="J342" s="62"/>
      <c r="K342" s="62"/>
      <c r="L342" s="62"/>
      <c r="M342" s="62"/>
      <c r="N342" s="62"/>
      <c r="O342" s="62"/>
      <c r="P342" s="62"/>
      <c r="Q342" s="62"/>
      <c r="R342" s="62"/>
      <c r="S342" s="258"/>
      <c r="T342" s="248" t="str">
        <f t="shared" si="49"/>
        <v/>
      </c>
      <c r="U342" s="249" t="str">
        <f t="shared" si="50"/>
        <v/>
      </c>
      <c r="V342" s="294" t="str">
        <f t="shared" si="46"/>
        <v/>
      </c>
      <c r="W342" s="294" t="str">
        <f>IF(((E342="")+(F342="")),"",IF(VLOOKUP(F342,Mannschaften!$A$1:$B$54,2,FALSE)&lt;&gt;E342,"Reiter Mannschaften füllen",""))</f>
        <v/>
      </c>
      <c r="X342" s="248" t="str">
        <f>IF(ISBLANK(C342),"",IF((U342&gt;(LOOKUP(E342,WKNrListe,Übersicht!$O$7:$O$46)))+(U342&lt;(LOOKUP(E342,WKNrListe,Übersicht!$P$7:$P$46))),"JG falsch",""))</f>
        <v/>
      </c>
      <c r="Y342" s="255" t="str">
        <f>IF((A342="")*(B342=""),"",IF(ISERROR(MATCH(E342,WKNrListe,0)),"WK falsch",LOOKUP(E342,WKNrListe,Übersicht!$B$7:$B$46)))</f>
        <v/>
      </c>
      <c r="Z342" s="269" t="str">
        <f>IF(((AJ342=0)*(AH342&lt;&gt;"")*(AK342="-"))+((AJ342&lt;&gt;0)*(AH342&lt;&gt;"")*(AK342="-")),IF(AG342="X",Übersicht!$C$70,Übersicht!$C$69),"-")</f>
        <v>-</v>
      </c>
      <c r="AA342" s="252" t="str">
        <f>IF((($A342="")*($B342=""))+((MID($Y342,1,4)&lt;&gt;"Wahl")*(Deckblatt!$C$14='WK-Vorlagen'!$C$82))+(Deckblatt!$C$14&lt;&gt;'WK-Vorlagen'!$C$82),"",IF(ISERROR(MATCH(VALUE(MID(G342,1,2)),Schwierigkeitsstufen!$G$7:$G$19,0)),"Gerät falsch",LOOKUP(VALUE(MID(G342,1,2)),Schwierigkeitsstufen!$G$7:$G$19,Schwierigkeitsstufen!$H$7:$H$19)))</f>
        <v/>
      </c>
      <c r="AB342" s="250" t="str">
        <f>IF((($A342="")*($B342=""))+((MID($Y342,1,4)&lt;&gt;"Wahl")*(Deckblatt!$C$14='WK-Vorlagen'!$C$82))+(Deckblatt!$C$14&lt;&gt;'WK-Vorlagen'!$C$82),"",IF(ISERROR(MATCH(VALUE(MID(H342,1,2)),Schwierigkeitsstufen!$G$7:$G$19,0)),"Gerät falsch",LOOKUP(VALUE(MID(H342,1,2)),Schwierigkeitsstufen!$G$7:$G$19,Schwierigkeitsstufen!$H$7:$H$19)))</f>
        <v/>
      </c>
      <c r="AC342" s="250" t="str">
        <f>IF((($A342="")*($B342=""))+((MID($Y342,1,4)&lt;&gt;"Wahl")*(Deckblatt!$C$14='WK-Vorlagen'!$C$82))+(Deckblatt!$C$14&lt;&gt;'WK-Vorlagen'!$C$82),"",IF(ISERROR(MATCH(VALUE(MID(I342,1,2)),Schwierigkeitsstufen!$G$7:$G$19,0)),"Gerät falsch",LOOKUP(VALUE(MID(I342,1,2)),Schwierigkeitsstufen!$G$7:$G$19,Schwierigkeitsstufen!$H$7:$H$19)))</f>
        <v/>
      </c>
      <c r="AD342" s="251" t="str">
        <f>IF((($A342="")*($B342=""))+((MID($Y342,1,4)&lt;&gt;"Wahl")*(Deckblatt!$C$14='WK-Vorlagen'!$C$82))+(Deckblatt!$C$14&lt;&gt;'WK-Vorlagen'!$C$82),"",IF(ISERROR(MATCH(VALUE(MID(J342,1,2)),Schwierigkeitsstufen!$G$7:$G$19,0)),"Gerät falsch",LOOKUP(VALUE(MID(J342,1,2)),Schwierigkeitsstufen!$G$7:$G$19,Schwierigkeitsstufen!$H$7:$H$19)))</f>
        <v/>
      </c>
      <c r="AE342" s="211"/>
      <c r="AG342" s="221" t="str">
        <f t="shared" si="45"/>
        <v/>
      </c>
      <c r="AH342" s="222" t="str">
        <f t="shared" si="47"/>
        <v/>
      </c>
      <c r="AI342" s="220">
        <f t="shared" si="52"/>
        <v>4</v>
      </c>
      <c r="AJ342" s="222">
        <f t="shared" si="48"/>
        <v>0</v>
      </c>
      <c r="AK342" s="299" t="str">
        <f>IF(ISERROR(LOOKUP(E342,WKNrListe,Übersicht!$R$7:$R$46)),"-",LOOKUP(E342,WKNrListe,Übersicht!$R$7:$R$46))</f>
        <v>-</v>
      </c>
      <c r="AL342" s="299" t="str">
        <f t="shared" si="51"/>
        <v>-</v>
      </c>
      <c r="AM342" s="303"/>
      <c r="AN342" s="174" t="str">
        <f t="shared" si="44"/>
        <v>Leer</v>
      </c>
    </row>
    <row r="343" spans="1:40" s="174" customFormat="1" ht="15" customHeight="1">
      <c r="A343" s="63"/>
      <c r="B343" s="63"/>
      <c r="C343" s="84"/>
      <c r="D343" s="85"/>
      <c r="E343" s="62"/>
      <c r="F343" s="62"/>
      <c r="G343" s="62"/>
      <c r="H343" s="62"/>
      <c r="I343" s="62"/>
      <c r="J343" s="62"/>
      <c r="K343" s="62"/>
      <c r="L343" s="62"/>
      <c r="M343" s="62"/>
      <c r="N343" s="62"/>
      <c r="O343" s="62"/>
      <c r="P343" s="62"/>
      <c r="Q343" s="62"/>
      <c r="R343" s="62"/>
      <c r="S343" s="258"/>
      <c r="T343" s="248" t="str">
        <f t="shared" si="49"/>
        <v/>
      </c>
      <c r="U343" s="249" t="str">
        <f t="shared" si="50"/>
        <v/>
      </c>
      <c r="V343" s="294" t="str">
        <f t="shared" si="46"/>
        <v/>
      </c>
      <c r="W343" s="294" t="str">
        <f>IF(((E343="")+(F343="")),"",IF(VLOOKUP(F343,Mannschaften!$A$1:$B$54,2,FALSE)&lt;&gt;E343,"Reiter Mannschaften füllen",""))</f>
        <v/>
      </c>
      <c r="X343" s="248" t="str">
        <f>IF(ISBLANK(C343),"",IF((U343&gt;(LOOKUP(E343,WKNrListe,Übersicht!$O$7:$O$46)))+(U343&lt;(LOOKUP(E343,WKNrListe,Übersicht!$P$7:$P$46))),"JG falsch",""))</f>
        <v/>
      </c>
      <c r="Y343" s="255" t="str">
        <f>IF((A343="")*(B343=""),"",IF(ISERROR(MATCH(E343,WKNrListe,0)),"WK falsch",LOOKUP(E343,WKNrListe,Übersicht!$B$7:$B$46)))</f>
        <v/>
      </c>
      <c r="Z343" s="269" t="str">
        <f>IF(((AJ343=0)*(AH343&lt;&gt;"")*(AK343="-"))+((AJ343&lt;&gt;0)*(AH343&lt;&gt;"")*(AK343="-")),IF(AG343="X",Übersicht!$C$70,Übersicht!$C$69),"-")</f>
        <v>-</v>
      </c>
      <c r="AA343" s="252" t="str">
        <f>IF((($A343="")*($B343=""))+((MID($Y343,1,4)&lt;&gt;"Wahl")*(Deckblatt!$C$14='WK-Vorlagen'!$C$82))+(Deckblatt!$C$14&lt;&gt;'WK-Vorlagen'!$C$82),"",IF(ISERROR(MATCH(VALUE(MID(G343,1,2)),Schwierigkeitsstufen!$G$7:$G$19,0)),"Gerät falsch",LOOKUP(VALUE(MID(G343,1,2)),Schwierigkeitsstufen!$G$7:$G$19,Schwierigkeitsstufen!$H$7:$H$19)))</f>
        <v/>
      </c>
      <c r="AB343" s="250" t="str">
        <f>IF((($A343="")*($B343=""))+((MID($Y343,1,4)&lt;&gt;"Wahl")*(Deckblatt!$C$14='WK-Vorlagen'!$C$82))+(Deckblatt!$C$14&lt;&gt;'WK-Vorlagen'!$C$82),"",IF(ISERROR(MATCH(VALUE(MID(H343,1,2)),Schwierigkeitsstufen!$G$7:$G$19,0)),"Gerät falsch",LOOKUP(VALUE(MID(H343,1,2)),Schwierigkeitsstufen!$G$7:$G$19,Schwierigkeitsstufen!$H$7:$H$19)))</f>
        <v/>
      </c>
      <c r="AC343" s="250" t="str">
        <f>IF((($A343="")*($B343=""))+((MID($Y343,1,4)&lt;&gt;"Wahl")*(Deckblatt!$C$14='WK-Vorlagen'!$C$82))+(Deckblatt!$C$14&lt;&gt;'WK-Vorlagen'!$C$82),"",IF(ISERROR(MATCH(VALUE(MID(I343,1,2)),Schwierigkeitsstufen!$G$7:$G$19,0)),"Gerät falsch",LOOKUP(VALUE(MID(I343,1,2)),Schwierigkeitsstufen!$G$7:$G$19,Schwierigkeitsstufen!$H$7:$H$19)))</f>
        <v/>
      </c>
      <c r="AD343" s="251" t="str">
        <f>IF((($A343="")*($B343=""))+((MID($Y343,1,4)&lt;&gt;"Wahl")*(Deckblatt!$C$14='WK-Vorlagen'!$C$82))+(Deckblatt!$C$14&lt;&gt;'WK-Vorlagen'!$C$82),"",IF(ISERROR(MATCH(VALUE(MID(J343,1,2)),Schwierigkeitsstufen!$G$7:$G$19,0)),"Gerät falsch",LOOKUP(VALUE(MID(J343,1,2)),Schwierigkeitsstufen!$G$7:$G$19,Schwierigkeitsstufen!$H$7:$H$19)))</f>
        <v/>
      </c>
      <c r="AE343" s="211"/>
      <c r="AG343" s="221" t="str">
        <f t="shared" si="45"/>
        <v/>
      </c>
      <c r="AH343" s="222" t="str">
        <f t="shared" si="47"/>
        <v/>
      </c>
      <c r="AI343" s="220">
        <f t="shared" si="52"/>
        <v>4</v>
      </c>
      <c r="AJ343" s="222">
        <f t="shared" si="48"/>
        <v>0</v>
      </c>
      <c r="AK343" s="299" t="str">
        <f>IF(ISERROR(LOOKUP(E343,WKNrListe,Übersicht!$R$7:$R$46)),"-",LOOKUP(E343,WKNrListe,Übersicht!$R$7:$R$46))</f>
        <v>-</v>
      </c>
      <c r="AL343" s="299" t="str">
        <f t="shared" si="51"/>
        <v>-</v>
      </c>
      <c r="AM343" s="303"/>
      <c r="AN343" s="174" t="str">
        <f t="shared" si="44"/>
        <v>Leer</v>
      </c>
    </row>
    <row r="344" spans="1:40" s="174" customFormat="1" ht="15" customHeight="1">
      <c r="A344" s="63"/>
      <c r="B344" s="63"/>
      <c r="C344" s="84"/>
      <c r="D344" s="85"/>
      <c r="E344" s="62"/>
      <c r="F344" s="62"/>
      <c r="G344" s="62"/>
      <c r="H344" s="62"/>
      <c r="I344" s="62"/>
      <c r="J344" s="62"/>
      <c r="K344" s="62"/>
      <c r="L344" s="62"/>
      <c r="M344" s="62"/>
      <c r="N344" s="62"/>
      <c r="O344" s="62"/>
      <c r="P344" s="62"/>
      <c r="Q344" s="62"/>
      <c r="R344" s="62"/>
      <c r="S344" s="258"/>
      <c r="T344" s="248" t="str">
        <f t="shared" si="49"/>
        <v/>
      </c>
      <c r="U344" s="249" t="str">
        <f t="shared" si="50"/>
        <v/>
      </c>
      <c r="V344" s="294" t="str">
        <f t="shared" si="46"/>
        <v/>
      </c>
      <c r="W344" s="294" t="str">
        <f>IF(((E344="")+(F344="")),"",IF(VLOOKUP(F344,Mannschaften!$A$1:$B$54,2,FALSE)&lt;&gt;E344,"Reiter Mannschaften füllen",""))</f>
        <v/>
      </c>
      <c r="X344" s="248" t="str">
        <f>IF(ISBLANK(C344),"",IF((U344&gt;(LOOKUP(E344,WKNrListe,Übersicht!$O$7:$O$46)))+(U344&lt;(LOOKUP(E344,WKNrListe,Übersicht!$P$7:$P$46))),"JG falsch",""))</f>
        <v/>
      </c>
      <c r="Y344" s="255" t="str">
        <f>IF((A344="")*(B344=""),"",IF(ISERROR(MATCH(E344,WKNrListe,0)),"WK falsch",LOOKUP(E344,WKNrListe,Übersicht!$B$7:$B$46)))</f>
        <v/>
      </c>
      <c r="Z344" s="269" t="str">
        <f>IF(((AJ344=0)*(AH344&lt;&gt;"")*(AK344="-"))+((AJ344&lt;&gt;0)*(AH344&lt;&gt;"")*(AK344="-")),IF(AG344="X",Übersicht!$C$70,Übersicht!$C$69),"-")</f>
        <v>-</v>
      </c>
      <c r="AA344" s="252" t="str">
        <f>IF((($A344="")*($B344=""))+((MID($Y344,1,4)&lt;&gt;"Wahl")*(Deckblatt!$C$14='WK-Vorlagen'!$C$82))+(Deckblatt!$C$14&lt;&gt;'WK-Vorlagen'!$C$82),"",IF(ISERROR(MATCH(VALUE(MID(G344,1,2)),Schwierigkeitsstufen!$G$7:$G$19,0)),"Gerät falsch",LOOKUP(VALUE(MID(G344,1,2)),Schwierigkeitsstufen!$G$7:$G$19,Schwierigkeitsstufen!$H$7:$H$19)))</f>
        <v/>
      </c>
      <c r="AB344" s="250" t="str">
        <f>IF((($A344="")*($B344=""))+((MID($Y344,1,4)&lt;&gt;"Wahl")*(Deckblatt!$C$14='WK-Vorlagen'!$C$82))+(Deckblatt!$C$14&lt;&gt;'WK-Vorlagen'!$C$82),"",IF(ISERROR(MATCH(VALUE(MID(H344,1,2)),Schwierigkeitsstufen!$G$7:$G$19,0)),"Gerät falsch",LOOKUP(VALUE(MID(H344,1,2)),Schwierigkeitsstufen!$G$7:$G$19,Schwierigkeitsstufen!$H$7:$H$19)))</f>
        <v/>
      </c>
      <c r="AC344" s="250" t="str">
        <f>IF((($A344="")*($B344=""))+((MID($Y344,1,4)&lt;&gt;"Wahl")*(Deckblatt!$C$14='WK-Vorlagen'!$C$82))+(Deckblatt!$C$14&lt;&gt;'WK-Vorlagen'!$C$82),"",IF(ISERROR(MATCH(VALUE(MID(I344,1,2)),Schwierigkeitsstufen!$G$7:$G$19,0)),"Gerät falsch",LOOKUP(VALUE(MID(I344,1,2)),Schwierigkeitsstufen!$G$7:$G$19,Schwierigkeitsstufen!$H$7:$H$19)))</f>
        <v/>
      </c>
      <c r="AD344" s="251" t="str">
        <f>IF((($A344="")*($B344=""))+((MID($Y344,1,4)&lt;&gt;"Wahl")*(Deckblatt!$C$14='WK-Vorlagen'!$C$82))+(Deckblatt!$C$14&lt;&gt;'WK-Vorlagen'!$C$82),"",IF(ISERROR(MATCH(VALUE(MID(J344,1,2)),Schwierigkeitsstufen!$G$7:$G$19,0)),"Gerät falsch",LOOKUP(VALUE(MID(J344,1,2)),Schwierigkeitsstufen!$G$7:$G$19,Schwierigkeitsstufen!$H$7:$H$19)))</f>
        <v/>
      </c>
      <c r="AE344" s="211"/>
      <c r="AG344" s="221" t="str">
        <f t="shared" si="45"/>
        <v/>
      </c>
      <c r="AH344" s="222" t="str">
        <f t="shared" si="47"/>
        <v/>
      </c>
      <c r="AI344" s="220">
        <f t="shared" si="52"/>
        <v>4</v>
      </c>
      <c r="AJ344" s="222">
        <f t="shared" si="48"/>
        <v>0</v>
      </c>
      <c r="AK344" s="299" t="str">
        <f>IF(ISERROR(LOOKUP(E344,WKNrListe,Übersicht!$R$7:$R$46)),"-",LOOKUP(E344,WKNrListe,Übersicht!$R$7:$R$46))</f>
        <v>-</v>
      </c>
      <c r="AL344" s="299" t="str">
        <f t="shared" si="51"/>
        <v>-</v>
      </c>
      <c r="AM344" s="303"/>
      <c r="AN344" s="174" t="str">
        <f t="shared" si="44"/>
        <v>Leer</v>
      </c>
    </row>
    <row r="345" spans="1:40" s="174" customFormat="1" ht="15" customHeight="1">
      <c r="A345" s="63"/>
      <c r="B345" s="63"/>
      <c r="C345" s="84"/>
      <c r="D345" s="85"/>
      <c r="E345" s="62"/>
      <c r="F345" s="62"/>
      <c r="G345" s="62"/>
      <c r="H345" s="62"/>
      <c r="I345" s="62"/>
      <c r="J345" s="62"/>
      <c r="K345" s="62"/>
      <c r="L345" s="62"/>
      <c r="M345" s="62"/>
      <c r="N345" s="62"/>
      <c r="O345" s="62"/>
      <c r="P345" s="62"/>
      <c r="Q345" s="62"/>
      <c r="R345" s="62"/>
      <c r="S345" s="258"/>
      <c r="T345" s="248" t="str">
        <f t="shared" si="49"/>
        <v/>
      </c>
      <c r="U345" s="249" t="str">
        <f t="shared" si="50"/>
        <v/>
      </c>
      <c r="V345" s="294" t="str">
        <f t="shared" si="46"/>
        <v/>
      </c>
      <c r="W345" s="294" t="str">
        <f>IF(((E345="")+(F345="")),"",IF(VLOOKUP(F345,Mannschaften!$A$1:$B$54,2,FALSE)&lt;&gt;E345,"Reiter Mannschaften füllen",""))</f>
        <v/>
      </c>
      <c r="X345" s="248" t="str">
        <f>IF(ISBLANK(C345),"",IF((U345&gt;(LOOKUP(E345,WKNrListe,Übersicht!$O$7:$O$46)))+(U345&lt;(LOOKUP(E345,WKNrListe,Übersicht!$P$7:$P$46))),"JG falsch",""))</f>
        <v/>
      </c>
      <c r="Y345" s="255" t="str">
        <f>IF((A345="")*(B345=""),"",IF(ISERROR(MATCH(E345,WKNrListe,0)),"WK falsch",LOOKUP(E345,WKNrListe,Übersicht!$B$7:$B$46)))</f>
        <v/>
      </c>
      <c r="Z345" s="269" t="str">
        <f>IF(((AJ345=0)*(AH345&lt;&gt;"")*(AK345="-"))+((AJ345&lt;&gt;0)*(AH345&lt;&gt;"")*(AK345="-")),IF(AG345="X",Übersicht!$C$70,Übersicht!$C$69),"-")</f>
        <v>-</v>
      </c>
      <c r="AA345" s="252" t="str">
        <f>IF((($A345="")*($B345=""))+((MID($Y345,1,4)&lt;&gt;"Wahl")*(Deckblatt!$C$14='WK-Vorlagen'!$C$82))+(Deckblatt!$C$14&lt;&gt;'WK-Vorlagen'!$C$82),"",IF(ISERROR(MATCH(VALUE(MID(G345,1,2)),Schwierigkeitsstufen!$G$7:$G$19,0)),"Gerät falsch",LOOKUP(VALUE(MID(G345,1,2)),Schwierigkeitsstufen!$G$7:$G$19,Schwierigkeitsstufen!$H$7:$H$19)))</f>
        <v/>
      </c>
      <c r="AB345" s="250" t="str">
        <f>IF((($A345="")*($B345=""))+((MID($Y345,1,4)&lt;&gt;"Wahl")*(Deckblatt!$C$14='WK-Vorlagen'!$C$82))+(Deckblatt!$C$14&lt;&gt;'WK-Vorlagen'!$C$82),"",IF(ISERROR(MATCH(VALUE(MID(H345,1,2)),Schwierigkeitsstufen!$G$7:$G$19,0)),"Gerät falsch",LOOKUP(VALUE(MID(H345,1,2)),Schwierigkeitsstufen!$G$7:$G$19,Schwierigkeitsstufen!$H$7:$H$19)))</f>
        <v/>
      </c>
      <c r="AC345" s="250" t="str">
        <f>IF((($A345="")*($B345=""))+((MID($Y345,1,4)&lt;&gt;"Wahl")*(Deckblatt!$C$14='WK-Vorlagen'!$C$82))+(Deckblatt!$C$14&lt;&gt;'WK-Vorlagen'!$C$82),"",IF(ISERROR(MATCH(VALUE(MID(I345,1,2)),Schwierigkeitsstufen!$G$7:$G$19,0)),"Gerät falsch",LOOKUP(VALUE(MID(I345,1,2)),Schwierigkeitsstufen!$G$7:$G$19,Schwierigkeitsstufen!$H$7:$H$19)))</f>
        <v/>
      </c>
      <c r="AD345" s="251" t="str">
        <f>IF((($A345="")*($B345=""))+((MID($Y345,1,4)&lt;&gt;"Wahl")*(Deckblatt!$C$14='WK-Vorlagen'!$C$82))+(Deckblatt!$C$14&lt;&gt;'WK-Vorlagen'!$C$82),"",IF(ISERROR(MATCH(VALUE(MID(J345,1,2)),Schwierigkeitsstufen!$G$7:$G$19,0)),"Gerät falsch",LOOKUP(VALUE(MID(J345,1,2)),Schwierigkeitsstufen!$G$7:$G$19,Schwierigkeitsstufen!$H$7:$H$19)))</f>
        <v/>
      </c>
      <c r="AE345" s="211"/>
      <c r="AG345" s="221" t="str">
        <f t="shared" si="45"/>
        <v/>
      </c>
      <c r="AH345" s="222" t="str">
        <f t="shared" si="47"/>
        <v/>
      </c>
      <c r="AI345" s="220">
        <f t="shared" si="52"/>
        <v>4</v>
      </c>
      <c r="AJ345" s="222">
        <f t="shared" si="48"/>
        <v>0</v>
      </c>
      <c r="AK345" s="299" t="str">
        <f>IF(ISERROR(LOOKUP(E345,WKNrListe,Übersicht!$R$7:$R$46)),"-",LOOKUP(E345,WKNrListe,Übersicht!$R$7:$R$46))</f>
        <v>-</v>
      </c>
      <c r="AL345" s="299" t="str">
        <f t="shared" si="51"/>
        <v>-</v>
      </c>
      <c r="AM345" s="303"/>
      <c r="AN345" s="174" t="str">
        <f t="shared" si="44"/>
        <v>Leer</v>
      </c>
    </row>
    <row r="346" spans="1:40" s="174" customFormat="1" ht="15" customHeight="1">
      <c r="A346" s="63"/>
      <c r="B346" s="63"/>
      <c r="C346" s="84"/>
      <c r="D346" s="85"/>
      <c r="E346" s="62"/>
      <c r="F346" s="62"/>
      <c r="G346" s="62"/>
      <c r="H346" s="62"/>
      <c r="I346" s="62"/>
      <c r="J346" s="62"/>
      <c r="K346" s="62"/>
      <c r="L346" s="62"/>
      <c r="M346" s="62"/>
      <c r="N346" s="62"/>
      <c r="O346" s="62"/>
      <c r="P346" s="62"/>
      <c r="Q346" s="62"/>
      <c r="R346" s="62"/>
      <c r="S346" s="258"/>
      <c r="T346" s="248" t="str">
        <f t="shared" si="49"/>
        <v/>
      </c>
      <c r="U346" s="249" t="str">
        <f t="shared" si="50"/>
        <v/>
      </c>
      <c r="V346" s="294" t="str">
        <f t="shared" si="46"/>
        <v/>
      </c>
      <c r="W346" s="294" t="str">
        <f>IF(((E346="")+(F346="")),"",IF(VLOOKUP(F346,Mannschaften!$A$1:$B$54,2,FALSE)&lt;&gt;E346,"Reiter Mannschaften füllen",""))</f>
        <v/>
      </c>
      <c r="X346" s="248" t="str">
        <f>IF(ISBLANK(C346),"",IF((U346&gt;(LOOKUP(E346,WKNrListe,Übersicht!$O$7:$O$46)))+(U346&lt;(LOOKUP(E346,WKNrListe,Übersicht!$P$7:$P$46))),"JG falsch",""))</f>
        <v/>
      </c>
      <c r="Y346" s="255" t="str">
        <f>IF((A346="")*(B346=""),"",IF(ISERROR(MATCH(E346,WKNrListe,0)),"WK falsch",LOOKUP(E346,WKNrListe,Übersicht!$B$7:$B$46)))</f>
        <v/>
      </c>
      <c r="Z346" s="269" t="str">
        <f>IF(((AJ346=0)*(AH346&lt;&gt;"")*(AK346="-"))+((AJ346&lt;&gt;0)*(AH346&lt;&gt;"")*(AK346="-")),IF(AG346="X",Übersicht!$C$70,Übersicht!$C$69),"-")</f>
        <v>-</v>
      </c>
      <c r="AA346" s="252" t="str">
        <f>IF((($A346="")*($B346=""))+((MID($Y346,1,4)&lt;&gt;"Wahl")*(Deckblatt!$C$14='WK-Vorlagen'!$C$82))+(Deckblatt!$C$14&lt;&gt;'WK-Vorlagen'!$C$82),"",IF(ISERROR(MATCH(VALUE(MID(G346,1,2)),Schwierigkeitsstufen!$G$7:$G$19,0)),"Gerät falsch",LOOKUP(VALUE(MID(G346,1,2)),Schwierigkeitsstufen!$G$7:$G$19,Schwierigkeitsstufen!$H$7:$H$19)))</f>
        <v/>
      </c>
      <c r="AB346" s="250" t="str">
        <f>IF((($A346="")*($B346=""))+((MID($Y346,1,4)&lt;&gt;"Wahl")*(Deckblatt!$C$14='WK-Vorlagen'!$C$82))+(Deckblatt!$C$14&lt;&gt;'WK-Vorlagen'!$C$82),"",IF(ISERROR(MATCH(VALUE(MID(H346,1,2)),Schwierigkeitsstufen!$G$7:$G$19,0)),"Gerät falsch",LOOKUP(VALUE(MID(H346,1,2)),Schwierigkeitsstufen!$G$7:$G$19,Schwierigkeitsstufen!$H$7:$H$19)))</f>
        <v/>
      </c>
      <c r="AC346" s="250" t="str">
        <f>IF((($A346="")*($B346=""))+((MID($Y346,1,4)&lt;&gt;"Wahl")*(Deckblatt!$C$14='WK-Vorlagen'!$C$82))+(Deckblatt!$C$14&lt;&gt;'WK-Vorlagen'!$C$82),"",IF(ISERROR(MATCH(VALUE(MID(I346,1,2)),Schwierigkeitsstufen!$G$7:$G$19,0)),"Gerät falsch",LOOKUP(VALUE(MID(I346,1,2)),Schwierigkeitsstufen!$G$7:$G$19,Schwierigkeitsstufen!$H$7:$H$19)))</f>
        <v/>
      </c>
      <c r="AD346" s="251" t="str">
        <f>IF((($A346="")*($B346=""))+((MID($Y346,1,4)&lt;&gt;"Wahl")*(Deckblatt!$C$14='WK-Vorlagen'!$C$82))+(Deckblatt!$C$14&lt;&gt;'WK-Vorlagen'!$C$82),"",IF(ISERROR(MATCH(VALUE(MID(J346,1,2)),Schwierigkeitsstufen!$G$7:$G$19,0)),"Gerät falsch",LOOKUP(VALUE(MID(J346,1,2)),Schwierigkeitsstufen!$G$7:$G$19,Schwierigkeitsstufen!$H$7:$H$19)))</f>
        <v/>
      </c>
      <c r="AE346" s="211"/>
      <c r="AG346" s="221" t="str">
        <f t="shared" si="45"/>
        <v/>
      </c>
      <c r="AH346" s="222" t="str">
        <f t="shared" si="47"/>
        <v/>
      </c>
      <c r="AI346" s="220">
        <f t="shared" si="52"/>
        <v>4</v>
      </c>
      <c r="AJ346" s="222">
        <f t="shared" si="48"/>
        <v>0</v>
      </c>
      <c r="AK346" s="299" t="str">
        <f>IF(ISERROR(LOOKUP(E346,WKNrListe,Übersicht!$R$7:$R$46)),"-",LOOKUP(E346,WKNrListe,Übersicht!$R$7:$R$46))</f>
        <v>-</v>
      </c>
      <c r="AL346" s="299" t="str">
        <f t="shared" si="51"/>
        <v>-</v>
      </c>
      <c r="AM346" s="303"/>
      <c r="AN346" s="174" t="str">
        <f t="shared" si="44"/>
        <v>Leer</v>
      </c>
    </row>
    <row r="347" spans="1:40" s="174" customFormat="1" ht="15" customHeight="1">
      <c r="A347" s="63"/>
      <c r="B347" s="63"/>
      <c r="C347" s="84"/>
      <c r="D347" s="85"/>
      <c r="E347" s="62"/>
      <c r="F347" s="62"/>
      <c r="G347" s="62"/>
      <c r="H347" s="62"/>
      <c r="I347" s="62"/>
      <c r="J347" s="62"/>
      <c r="K347" s="62"/>
      <c r="L347" s="62"/>
      <c r="M347" s="62"/>
      <c r="N347" s="62"/>
      <c r="O347" s="62"/>
      <c r="P347" s="62"/>
      <c r="Q347" s="62"/>
      <c r="R347" s="62"/>
      <c r="S347" s="258"/>
      <c r="T347" s="248" t="str">
        <f t="shared" si="49"/>
        <v/>
      </c>
      <c r="U347" s="249" t="str">
        <f t="shared" si="50"/>
        <v/>
      </c>
      <c r="V347" s="294" t="str">
        <f t="shared" si="46"/>
        <v/>
      </c>
      <c r="W347" s="294" t="str">
        <f>IF(((E347="")+(F347="")),"",IF(VLOOKUP(F347,Mannschaften!$A$1:$B$54,2,FALSE)&lt;&gt;E347,"Reiter Mannschaften füllen",""))</f>
        <v/>
      </c>
      <c r="X347" s="248" t="str">
        <f>IF(ISBLANK(C347),"",IF((U347&gt;(LOOKUP(E347,WKNrListe,Übersicht!$O$7:$O$46)))+(U347&lt;(LOOKUP(E347,WKNrListe,Übersicht!$P$7:$P$46))),"JG falsch",""))</f>
        <v/>
      </c>
      <c r="Y347" s="255" t="str">
        <f>IF((A347="")*(B347=""),"",IF(ISERROR(MATCH(E347,WKNrListe,0)),"WK falsch",LOOKUP(E347,WKNrListe,Übersicht!$B$7:$B$46)))</f>
        <v/>
      </c>
      <c r="Z347" s="269" t="str">
        <f>IF(((AJ347=0)*(AH347&lt;&gt;"")*(AK347="-"))+((AJ347&lt;&gt;0)*(AH347&lt;&gt;"")*(AK347="-")),IF(AG347="X",Übersicht!$C$70,Übersicht!$C$69),"-")</f>
        <v>-</v>
      </c>
      <c r="AA347" s="252" t="str">
        <f>IF((($A347="")*($B347=""))+((MID($Y347,1,4)&lt;&gt;"Wahl")*(Deckblatt!$C$14='WK-Vorlagen'!$C$82))+(Deckblatt!$C$14&lt;&gt;'WK-Vorlagen'!$C$82),"",IF(ISERROR(MATCH(VALUE(MID(G347,1,2)),Schwierigkeitsstufen!$G$7:$G$19,0)),"Gerät falsch",LOOKUP(VALUE(MID(G347,1,2)),Schwierigkeitsstufen!$G$7:$G$19,Schwierigkeitsstufen!$H$7:$H$19)))</f>
        <v/>
      </c>
      <c r="AB347" s="250" t="str">
        <f>IF((($A347="")*($B347=""))+((MID($Y347,1,4)&lt;&gt;"Wahl")*(Deckblatt!$C$14='WK-Vorlagen'!$C$82))+(Deckblatt!$C$14&lt;&gt;'WK-Vorlagen'!$C$82),"",IF(ISERROR(MATCH(VALUE(MID(H347,1,2)),Schwierigkeitsstufen!$G$7:$G$19,0)),"Gerät falsch",LOOKUP(VALUE(MID(H347,1,2)),Schwierigkeitsstufen!$G$7:$G$19,Schwierigkeitsstufen!$H$7:$H$19)))</f>
        <v/>
      </c>
      <c r="AC347" s="250" t="str">
        <f>IF((($A347="")*($B347=""))+((MID($Y347,1,4)&lt;&gt;"Wahl")*(Deckblatt!$C$14='WK-Vorlagen'!$C$82))+(Deckblatt!$C$14&lt;&gt;'WK-Vorlagen'!$C$82),"",IF(ISERROR(MATCH(VALUE(MID(I347,1,2)),Schwierigkeitsstufen!$G$7:$G$19,0)),"Gerät falsch",LOOKUP(VALUE(MID(I347,1,2)),Schwierigkeitsstufen!$G$7:$G$19,Schwierigkeitsstufen!$H$7:$H$19)))</f>
        <v/>
      </c>
      <c r="AD347" s="251" t="str">
        <f>IF((($A347="")*($B347=""))+((MID($Y347,1,4)&lt;&gt;"Wahl")*(Deckblatt!$C$14='WK-Vorlagen'!$C$82))+(Deckblatt!$C$14&lt;&gt;'WK-Vorlagen'!$C$82),"",IF(ISERROR(MATCH(VALUE(MID(J347,1,2)),Schwierigkeitsstufen!$G$7:$G$19,0)),"Gerät falsch",LOOKUP(VALUE(MID(J347,1,2)),Schwierigkeitsstufen!$G$7:$G$19,Schwierigkeitsstufen!$H$7:$H$19)))</f>
        <v/>
      </c>
      <c r="AE347" s="211"/>
      <c r="AG347" s="221" t="str">
        <f t="shared" si="45"/>
        <v/>
      </c>
      <c r="AH347" s="222" t="str">
        <f t="shared" si="47"/>
        <v/>
      </c>
      <c r="AI347" s="220">
        <f t="shared" si="52"/>
        <v>4</v>
      </c>
      <c r="AJ347" s="222">
        <f t="shared" si="48"/>
        <v>0</v>
      </c>
      <c r="AK347" s="299" t="str">
        <f>IF(ISERROR(LOOKUP(E347,WKNrListe,Übersicht!$R$7:$R$46)),"-",LOOKUP(E347,WKNrListe,Übersicht!$R$7:$R$46))</f>
        <v>-</v>
      </c>
      <c r="AL347" s="299" t="str">
        <f t="shared" si="51"/>
        <v>-</v>
      </c>
      <c r="AM347" s="303"/>
      <c r="AN347" s="174" t="str">
        <f t="shared" si="44"/>
        <v>Leer</v>
      </c>
    </row>
    <row r="348" spans="1:40" s="174" customFormat="1" ht="15" customHeight="1">
      <c r="A348" s="63"/>
      <c r="B348" s="63"/>
      <c r="C348" s="84"/>
      <c r="D348" s="85"/>
      <c r="E348" s="62"/>
      <c r="F348" s="62"/>
      <c r="G348" s="62"/>
      <c r="H348" s="62"/>
      <c r="I348" s="62"/>
      <c r="J348" s="62"/>
      <c r="K348" s="62"/>
      <c r="L348" s="62"/>
      <c r="M348" s="62"/>
      <c r="N348" s="62"/>
      <c r="O348" s="62"/>
      <c r="P348" s="62"/>
      <c r="Q348" s="62"/>
      <c r="R348" s="62"/>
      <c r="S348" s="258"/>
      <c r="T348" s="248" t="str">
        <f t="shared" si="49"/>
        <v/>
      </c>
      <c r="U348" s="249" t="str">
        <f t="shared" si="50"/>
        <v/>
      </c>
      <c r="V348" s="294" t="str">
        <f t="shared" si="46"/>
        <v/>
      </c>
      <c r="W348" s="294" t="str">
        <f>IF(((E348="")+(F348="")),"",IF(VLOOKUP(F348,Mannschaften!$A$1:$B$54,2,FALSE)&lt;&gt;E348,"Reiter Mannschaften füllen",""))</f>
        <v/>
      </c>
      <c r="X348" s="248" t="str">
        <f>IF(ISBLANK(C348),"",IF((U348&gt;(LOOKUP(E348,WKNrListe,Übersicht!$O$7:$O$46)))+(U348&lt;(LOOKUP(E348,WKNrListe,Übersicht!$P$7:$P$46))),"JG falsch",""))</f>
        <v/>
      </c>
      <c r="Y348" s="255" t="str">
        <f>IF((A348="")*(B348=""),"",IF(ISERROR(MATCH(E348,WKNrListe,0)),"WK falsch",LOOKUP(E348,WKNrListe,Übersicht!$B$7:$B$46)))</f>
        <v/>
      </c>
      <c r="Z348" s="269" t="str">
        <f>IF(((AJ348=0)*(AH348&lt;&gt;"")*(AK348="-"))+((AJ348&lt;&gt;0)*(AH348&lt;&gt;"")*(AK348="-")),IF(AG348="X",Übersicht!$C$70,Übersicht!$C$69),"-")</f>
        <v>-</v>
      </c>
      <c r="AA348" s="252" t="str">
        <f>IF((($A348="")*($B348=""))+((MID($Y348,1,4)&lt;&gt;"Wahl")*(Deckblatt!$C$14='WK-Vorlagen'!$C$82))+(Deckblatt!$C$14&lt;&gt;'WK-Vorlagen'!$C$82),"",IF(ISERROR(MATCH(VALUE(MID(G348,1,2)),Schwierigkeitsstufen!$G$7:$G$19,0)),"Gerät falsch",LOOKUP(VALUE(MID(G348,1,2)),Schwierigkeitsstufen!$G$7:$G$19,Schwierigkeitsstufen!$H$7:$H$19)))</f>
        <v/>
      </c>
      <c r="AB348" s="250" t="str">
        <f>IF((($A348="")*($B348=""))+((MID($Y348,1,4)&lt;&gt;"Wahl")*(Deckblatt!$C$14='WK-Vorlagen'!$C$82))+(Deckblatt!$C$14&lt;&gt;'WK-Vorlagen'!$C$82),"",IF(ISERROR(MATCH(VALUE(MID(H348,1,2)),Schwierigkeitsstufen!$G$7:$G$19,0)),"Gerät falsch",LOOKUP(VALUE(MID(H348,1,2)),Schwierigkeitsstufen!$G$7:$G$19,Schwierigkeitsstufen!$H$7:$H$19)))</f>
        <v/>
      </c>
      <c r="AC348" s="250" t="str">
        <f>IF((($A348="")*($B348=""))+((MID($Y348,1,4)&lt;&gt;"Wahl")*(Deckblatt!$C$14='WK-Vorlagen'!$C$82))+(Deckblatt!$C$14&lt;&gt;'WK-Vorlagen'!$C$82),"",IF(ISERROR(MATCH(VALUE(MID(I348,1,2)),Schwierigkeitsstufen!$G$7:$G$19,0)),"Gerät falsch",LOOKUP(VALUE(MID(I348,1,2)),Schwierigkeitsstufen!$G$7:$G$19,Schwierigkeitsstufen!$H$7:$H$19)))</f>
        <v/>
      </c>
      <c r="AD348" s="251" t="str">
        <f>IF((($A348="")*($B348=""))+((MID($Y348,1,4)&lt;&gt;"Wahl")*(Deckblatt!$C$14='WK-Vorlagen'!$C$82))+(Deckblatt!$C$14&lt;&gt;'WK-Vorlagen'!$C$82),"",IF(ISERROR(MATCH(VALUE(MID(J348,1,2)),Schwierigkeitsstufen!$G$7:$G$19,0)),"Gerät falsch",LOOKUP(VALUE(MID(J348,1,2)),Schwierigkeitsstufen!$G$7:$G$19,Schwierigkeitsstufen!$H$7:$H$19)))</f>
        <v/>
      </c>
      <c r="AE348" s="211"/>
      <c r="AG348" s="221" t="str">
        <f t="shared" si="45"/>
        <v/>
      </c>
      <c r="AH348" s="222" t="str">
        <f t="shared" si="47"/>
        <v/>
      </c>
      <c r="AI348" s="220">
        <f t="shared" si="52"/>
        <v>4</v>
      </c>
      <c r="AJ348" s="222">
        <f t="shared" si="48"/>
        <v>0</v>
      </c>
      <c r="AK348" s="299" t="str">
        <f>IF(ISERROR(LOOKUP(E348,WKNrListe,Übersicht!$R$7:$R$46)),"-",LOOKUP(E348,WKNrListe,Übersicht!$R$7:$R$46))</f>
        <v>-</v>
      </c>
      <c r="AL348" s="299" t="str">
        <f t="shared" si="51"/>
        <v>-</v>
      </c>
      <c r="AM348" s="303"/>
      <c r="AN348" s="174" t="str">
        <f t="shared" si="44"/>
        <v>Leer</v>
      </c>
    </row>
    <row r="349" spans="1:40" s="174" customFormat="1" ht="15" customHeight="1">
      <c r="A349" s="63"/>
      <c r="B349" s="63"/>
      <c r="C349" s="84"/>
      <c r="D349" s="85"/>
      <c r="E349" s="62"/>
      <c r="F349" s="62"/>
      <c r="G349" s="62"/>
      <c r="H349" s="62"/>
      <c r="I349" s="62"/>
      <c r="J349" s="62"/>
      <c r="K349" s="62"/>
      <c r="L349" s="62"/>
      <c r="M349" s="62"/>
      <c r="N349" s="62"/>
      <c r="O349" s="62"/>
      <c r="P349" s="62"/>
      <c r="Q349" s="62"/>
      <c r="R349" s="62"/>
      <c r="S349" s="258"/>
      <c r="T349" s="248" t="str">
        <f t="shared" si="49"/>
        <v/>
      </c>
      <c r="U349" s="249" t="str">
        <f t="shared" si="50"/>
        <v/>
      </c>
      <c r="V349" s="294" t="str">
        <f t="shared" si="46"/>
        <v/>
      </c>
      <c r="W349" s="294" t="str">
        <f>IF(((E349="")+(F349="")),"",IF(VLOOKUP(F349,Mannschaften!$A$1:$B$54,2,FALSE)&lt;&gt;E349,"Reiter Mannschaften füllen",""))</f>
        <v/>
      </c>
      <c r="X349" s="248" t="str">
        <f>IF(ISBLANK(C349),"",IF((U349&gt;(LOOKUP(E349,WKNrListe,Übersicht!$O$7:$O$46)))+(U349&lt;(LOOKUP(E349,WKNrListe,Übersicht!$P$7:$P$46))),"JG falsch",""))</f>
        <v/>
      </c>
      <c r="Y349" s="255" t="str">
        <f>IF((A349="")*(B349=""),"",IF(ISERROR(MATCH(E349,WKNrListe,0)),"WK falsch",LOOKUP(E349,WKNrListe,Übersicht!$B$7:$B$46)))</f>
        <v/>
      </c>
      <c r="Z349" s="269" t="str">
        <f>IF(((AJ349=0)*(AH349&lt;&gt;"")*(AK349="-"))+((AJ349&lt;&gt;0)*(AH349&lt;&gt;"")*(AK349="-")),IF(AG349="X",Übersicht!$C$70,Übersicht!$C$69),"-")</f>
        <v>-</v>
      </c>
      <c r="AA349" s="252" t="str">
        <f>IF((($A349="")*($B349=""))+((MID($Y349,1,4)&lt;&gt;"Wahl")*(Deckblatt!$C$14='WK-Vorlagen'!$C$82))+(Deckblatt!$C$14&lt;&gt;'WK-Vorlagen'!$C$82),"",IF(ISERROR(MATCH(VALUE(MID(G349,1,2)),Schwierigkeitsstufen!$G$7:$G$19,0)),"Gerät falsch",LOOKUP(VALUE(MID(G349,1,2)),Schwierigkeitsstufen!$G$7:$G$19,Schwierigkeitsstufen!$H$7:$H$19)))</f>
        <v/>
      </c>
      <c r="AB349" s="250" t="str">
        <f>IF((($A349="")*($B349=""))+((MID($Y349,1,4)&lt;&gt;"Wahl")*(Deckblatt!$C$14='WK-Vorlagen'!$C$82))+(Deckblatt!$C$14&lt;&gt;'WK-Vorlagen'!$C$82),"",IF(ISERROR(MATCH(VALUE(MID(H349,1,2)),Schwierigkeitsstufen!$G$7:$G$19,0)),"Gerät falsch",LOOKUP(VALUE(MID(H349,1,2)),Schwierigkeitsstufen!$G$7:$G$19,Schwierigkeitsstufen!$H$7:$H$19)))</f>
        <v/>
      </c>
      <c r="AC349" s="250" t="str">
        <f>IF((($A349="")*($B349=""))+((MID($Y349,1,4)&lt;&gt;"Wahl")*(Deckblatt!$C$14='WK-Vorlagen'!$C$82))+(Deckblatt!$C$14&lt;&gt;'WK-Vorlagen'!$C$82),"",IF(ISERROR(MATCH(VALUE(MID(I349,1,2)),Schwierigkeitsstufen!$G$7:$G$19,0)),"Gerät falsch",LOOKUP(VALUE(MID(I349,1,2)),Schwierigkeitsstufen!$G$7:$G$19,Schwierigkeitsstufen!$H$7:$H$19)))</f>
        <v/>
      </c>
      <c r="AD349" s="251" t="str">
        <f>IF((($A349="")*($B349=""))+((MID($Y349,1,4)&lt;&gt;"Wahl")*(Deckblatt!$C$14='WK-Vorlagen'!$C$82))+(Deckblatt!$C$14&lt;&gt;'WK-Vorlagen'!$C$82),"",IF(ISERROR(MATCH(VALUE(MID(J349,1,2)),Schwierigkeitsstufen!$G$7:$G$19,0)),"Gerät falsch",LOOKUP(VALUE(MID(J349,1,2)),Schwierigkeitsstufen!$G$7:$G$19,Schwierigkeitsstufen!$H$7:$H$19)))</f>
        <v/>
      </c>
      <c r="AE349" s="211"/>
      <c r="AG349" s="221" t="str">
        <f t="shared" si="45"/>
        <v/>
      </c>
      <c r="AH349" s="222" t="str">
        <f t="shared" si="47"/>
        <v/>
      </c>
      <c r="AI349" s="220">
        <f t="shared" si="52"/>
        <v>4</v>
      </c>
      <c r="AJ349" s="222">
        <f t="shared" si="48"/>
        <v>0</v>
      </c>
      <c r="AK349" s="299" t="str">
        <f>IF(ISERROR(LOOKUP(E349,WKNrListe,Übersicht!$R$7:$R$46)),"-",LOOKUP(E349,WKNrListe,Übersicht!$R$7:$R$46))</f>
        <v>-</v>
      </c>
      <c r="AL349" s="299" t="str">
        <f t="shared" si="51"/>
        <v>-</v>
      </c>
      <c r="AM349" s="303"/>
      <c r="AN349" s="174" t="str">
        <f t="shared" si="44"/>
        <v>Leer</v>
      </c>
    </row>
    <row r="350" spans="1:40" s="174" customFormat="1" ht="15" customHeight="1">
      <c r="A350" s="63"/>
      <c r="B350" s="63"/>
      <c r="C350" s="84"/>
      <c r="D350" s="85"/>
      <c r="E350" s="62"/>
      <c r="F350" s="62"/>
      <c r="G350" s="62"/>
      <c r="H350" s="62"/>
      <c r="I350" s="62"/>
      <c r="J350" s="62"/>
      <c r="K350" s="62"/>
      <c r="L350" s="62"/>
      <c r="M350" s="62"/>
      <c r="N350" s="62"/>
      <c r="O350" s="62"/>
      <c r="P350" s="62"/>
      <c r="Q350" s="62"/>
      <c r="R350" s="62"/>
      <c r="S350" s="258"/>
      <c r="T350" s="248" t="str">
        <f t="shared" si="49"/>
        <v/>
      </c>
      <c r="U350" s="249" t="str">
        <f t="shared" si="50"/>
        <v/>
      </c>
      <c r="V350" s="294" t="str">
        <f t="shared" si="46"/>
        <v/>
      </c>
      <c r="W350" s="294" t="str">
        <f>IF(((E350="")+(F350="")),"",IF(VLOOKUP(F350,Mannschaften!$A$1:$B$54,2,FALSE)&lt;&gt;E350,"Reiter Mannschaften füllen",""))</f>
        <v/>
      </c>
      <c r="X350" s="248" t="str">
        <f>IF(ISBLANK(C350),"",IF((U350&gt;(LOOKUP(E350,WKNrListe,Übersicht!$O$7:$O$46)))+(U350&lt;(LOOKUP(E350,WKNrListe,Übersicht!$P$7:$P$46))),"JG falsch",""))</f>
        <v/>
      </c>
      <c r="Y350" s="255" t="str">
        <f>IF((A350="")*(B350=""),"",IF(ISERROR(MATCH(E350,WKNrListe,0)),"WK falsch",LOOKUP(E350,WKNrListe,Übersicht!$B$7:$B$46)))</f>
        <v/>
      </c>
      <c r="Z350" s="269" t="str">
        <f>IF(((AJ350=0)*(AH350&lt;&gt;"")*(AK350="-"))+((AJ350&lt;&gt;0)*(AH350&lt;&gt;"")*(AK350="-")),IF(AG350="X",Übersicht!$C$70,Übersicht!$C$69),"-")</f>
        <v>-</v>
      </c>
      <c r="AA350" s="252" t="str">
        <f>IF((($A350="")*($B350=""))+((MID($Y350,1,4)&lt;&gt;"Wahl")*(Deckblatt!$C$14='WK-Vorlagen'!$C$82))+(Deckblatt!$C$14&lt;&gt;'WK-Vorlagen'!$C$82),"",IF(ISERROR(MATCH(VALUE(MID(G350,1,2)),Schwierigkeitsstufen!$G$7:$G$19,0)),"Gerät falsch",LOOKUP(VALUE(MID(G350,1,2)),Schwierigkeitsstufen!$G$7:$G$19,Schwierigkeitsstufen!$H$7:$H$19)))</f>
        <v/>
      </c>
      <c r="AB350" s="250" t="str">
        <f>IF((($A350="")*($B350=""))+((MID($Y350,1,4)&lt;&gt;"Wahl")*(Deckblatt!$C$14='WK-Vorlagen'!$C$82))+(Deckblatt!$C$14&lt;&gt;'WK-Vorlagen'!$C$82),"",IF(ISERROR(MATCH(VALUE(MID(H350,1,2)),Schwierigkeitsstufen!$G$7:$G$19,0)),"Gerät falsch",LOOKUP(VALUE(MID(H350,1,2)),Schwierigkeitsstufen!$G$7:$G$19,Schwierigkeitsstufen!$H$7:$H$19)))</f>
        <v/>
      </c>
      <c r="AC350" s="250" t="str">
        <f>IF((($A350="")*($B350=""))+((MID($Y350,1,4)&lt;&gt;"Wahl")*(Deckblatt!$C$14='WK-Vorlagen'!$C$82))+(Deckblatt!$C$14&lt;&gt;'WK-Vorlagen'!$C$82),"",IF(ISERROR(MATCH(VALUE(MID(I350,1,2)),Schwierigkeitsstufen!$G$7:$G$19,0)),"Gerät falsch",LOOKUP(VALUE(MID(I350,1,2)),Schwierigkeitsstufen!$G$7:$G$19,Schwierigkeitsstufen!$H$7:$H$19)))</f>
        <v/>
      </c>
      <c r="AD350" s="251" t="str">
        <f>IF((($A350="")*($B350=""))+((MID($Y350,1,4)&lt;&gt;"Wahl")*(Deckblatt!$C$14='WK-Vorlagen'!$C$82))+(Deckblatt!$C$14&lt;&gt;'WK-Vorlagen'!$C$82),"",IF(ISERROR(MATCH(VALUE(MID(J350,1,2)),Schwierigkeitsstufen!$G$7:$G$19,0)),"Gerät falsch",LOOKUP(VALUE(MID(J350,1,2)),Schwierigkeitsstufen!$G$7:$G$19,Schwierigkeitsstufen!$H$7:$H$19)))</f>
        <v/>
      </c>
      <c r="AE350" s="211"/>
      <c r="AG350" s="221" t="str">
        <f t="shared" si="45"/>
        <v/>
      </c>
      <c r="AH350" s="222" t="str">
        <f t="shared" si="47"/>
        <v/>
      </c>
      <c r="AI350" s="220">
        <f t="shared" si="52"/>
        <v>4</v>
      </c>
      <c r="AJ350" s="222">
        <f t="shared" si="48"/>
        <v>0</v>
      </c>
      <c r="AK350" s="299" t="str">
        <f>IF(ISERROR(LOOKUP(E350,WKNrListe,Übersicht!$R$7:$R$46)),"-",LOOKUP(E350,WKNrListe,Übersicht!$R$7:$R$46))</f>
        <v>-</v>
      </c>
      <c r="AL350" s="299" t="str">
        <f t="shared" si="51"/>
        <v>-</v>
      </c>
      <c r="AM350" s="303"/>
      <c r="AN350" s="174" t="str">
        <f t="shared" si="44"/>
        <v>Leer</v>
      </c>
    </row>
    <row r="351" spans="1:40" s="174" customFormat="1" ht="15" customHeight="1">
      <c r="A351" s="63"/>
      <c r="B351" s="63"/>
      <c r="C351" s="84"/>
      <c r="D351" s="85"/>
      <c r="E351" s="62"/>
      <c r="F351" s="62"/>
      <c r="G351" s="62"/>
      <c r="H351" s="62"/>
      <c r="I351" s="62"/>
      <c r="J351" s="62"/>
      <c r="K351" s="62"/>
      <c r="L351" s="62"/>
      <c r="M351" s="62"/>
      <c r="N351" s="62"/>
      <c r="O351" s="62"/>
      <c r="P351" s="62"/>
      <c r="Q351" s="62"/>
      <c r="R351" s="62"/>
      <c r="S351" s="258"/>
      <c r="T351" s="248" t="str">
        <f t="shared" si="49"/>
        <v/>
      </c>
      <c r="U351" s="249" t="str">
        <f t="shared" si="50"/>
        <v/>
      </c>
      <c r="V351" s="294" t="str">
        <f t="shared" si="46"/>
        <v/>
      </c>
      <c r="W351" s="294" t="str">
        <f>IF(((E351="")+(F351="")),"",IF(VLOOKUP(F351,Mannschaften!$A$1:$B$54,2,FALSE)&lt;&gt;E351,"Reiter Mannschaften füllen",""))</f>
        <v/>
      </c>
      <c r="X351" s="248" t="str">
        <f>IF(ISBLANK(C351),"",IF((U351&gt;(LOOKUP(E351,WKNrListe,Übersicht!$O$7:$O$46)))+(U351&lt;(LOOKUP(E351,WKNrListe,Übersicht!$P$7:$P$46))),"JG falsch",""))</f>
        <v/>
      </c>
      <c r="Y351" s="255" t="str">
        <f>IF((A351="")*(B351=""),"",IF(ISERROR(MATCH(E351,WKNrListe,0)),"WK falsch",LOOKUP(E351,WKNrListe,Übersicht!$B$7:$B$46)))</f>
        <v/>
      </c>
      <c r="Z351" s="269" t="str">
        <f>IF(((AJ351=0)*(AH351&lt;&gt;"")*(AK351="-"))+((AJ351&lt;&gt;0)*(AH351&lt;&gt;"")*(AK351="-")),IF(AG351="X",Übersicht!$C$70,Übersicht!$C$69),"-")</f>
        <v>-</v>
      </c>
      <c r="AA351" s="252" t="str">
        <f>IF((($A351="")*($B351=""))+((MID($Y351,1,4)&lt;&gt;"Wahl")*(Deckblatt!$C$14='WK-Vorlagen'!$C$82))+(Deckblatt!$C$14&lt;&gt;'WK-Vorlagen'!$C$82),"",IF(ISERROR(MATCH(VALUE(MID(G351,1,2)),Schwierigkeitsstufen!$G$7:$G$19,0)),"Gerät falsch",LOOKUP(VALUE(MID(G351,1,2)),Schwierigkeitsstufen!$G$7:$G$19,Schwierigkeitsstufen!$H$7:$H$19)))</f>
        <v/>
      </c>
      <c r="AB351" s="250" t="str">
        <f>IF((($A351="")*($B351=""))+((MID($Y351,1,4)&lt;&gt;"Wahl")*(Deckblatt!$C$14='WK-Vorlagen'!$C$82))+(Deckblatt!$C$14&lt;&gt;'WK-Vorlagen'!$C$82),"",IF(ISERROR(MATCH(VALUE(MID(H351,1,2)),Schwierigkeitsstufen!$G$7:$G$19,0)),"Gerät falsch",LOOKUP(VALUE(MID(H351,1,2)),Schwierigkeitsstufen!$G$7:$G$19,Schwierigkeitsstufen!$H$7:$H$19)))</f>
        <v/>
      </c>
      <c r="AC351" s="250" t="str">
        <f>IF((($A351="")*($B351=""))+((MID($Y351,1,4)&lt;&gt;"Wahl")*(Deckblatt!$C$14='WK-Vorlagen'!$C$82))+(Deckblatt!$C$14&lt;&gt;'WK-Vorlagen'!$C$82),"",IF(ISERROR(MATCH(VALUE(MID(I351,1,2)),Schwierigkeitsstufen!$G$7:$G$19,0)),"Gerät falsch",LOOKUP(VALUE(MID(I351,1,2)),Schwierigkeitsstufen!$G$7:$G$19,Schwierigkeitsstufen!$H$7:$H$19)))</f>
        <v/>
      </c>
      <c r="AD351" s="251" t="str">
        <f>IF((($A351="")*($B351=""))+((MID($Y351,1,4)&lt;&gt;"Wahl")*(Deckblatt!$C$14='WK-Vorlagen'!$C$82))+(Deckblatt!$C$14&lt;&gt;'WK-Vorlagen'!$C$82),"",IF(ISERROR(MATCH(VALUE(MID(J351,1,2)),Schwierigkeitsstufen!$G$7:$G$19,0)),"Gerät falsch",LOOKUP(VALUE(MID(J351,1,2)),Schwierigkeitsstufen!$G$7:$G$19,Schwierigkeitsstufen!$H$7:$H$19)))</f>
        <v/>
      </c>
      <c r="AE351" s="211"/>
      <c r="AG351" s="221" t="str">
        <f t="shared" si="45"/>
        <v/>
      </c>
      <c r="AH351" s="222" t="str">
        <f t="shared" si="47"/>
        <v/>
      </c>
      <c r="AI351" s="220">
        <f t="shared" si="52"/>
        <v>4</v>
      </c>
      <c r="AJ351" s="222">
        <f t="shared" si="48"/>
        <v>0</v>
      </c>
      <c r="AK351" s="299" t="str">
        <f>IF(ISERROR(LOOKUP(E351,WKNrListe,Übersicht!$R$7:$R$46)),"-",LOOKUP(E351,WKNrListe,Übersicht!$R$7:$R$46))</f>
        <v>-</v>
      </c>
      <c r="AL351" s="299" t="str">
        <f t="shared" si="51"/>
        <v>-</v>
      </c>
      <c r="AM351" s="303"/>
      <c r="AN351" s="174" t="str">
        <f t="shared" si="44"/>
        <v>Leer</v>
      </c>
    </row>
    <row r="352" spans="1:40" s="174" customFormat="1" ht="15" customHeight="1">
      <c r="A352" s="63"/>
      <c r="B352" s="63"/>
      <c r="C352" s="84"/>
      <c r="D352" s="85"/>
      <c r="E352" s="62"/>
      <c r="F352" s="62"/>
      <c r="G352" s="62"/>
      <c r="H352" s="62"/>
      <c r="I352" s="62"/>
      <c r="J352" s="62"/>
      <c r="K352" s="62"/>
      <c r="L352" s="62"/>
      <c r="M352" s="62"/>
      <c r="N352" s="62"/>
      <c r="O352" s="62"/>
      <c r="P352" s="62"/>
      <c r="Q352" s="62"/>
      <c r="R352" s="62"/>
      <c r="S352" s="258"/>
      <c r="T352" s="248" t="str">
        <f t="shared" si="49"/>
        <v/>
      </c>
      <c r="U352" s="249" t="str">
        <f t="shared" si="50"/>
        <v/>
      </c>
      <c r="V352" s="294" t="str">
        <f t="shared" si="46"/>
        <v/>
      </c>
      <c r="W352" s="294" t="str">
        <f>IF(((E352="")+(F352="")),"",IF(VLOOKUP(F352,Mannschaften!$A$1:$B$54,2,FALSE)&lt;&gt;E352,"Reiter Mannschaften füllen",""))</f>
        <v/>
      </c>
      <c r="X352" s="248" t="str">
        <f>IF(ISBLANK(C352),"",IF((U352&gt;(LOOKUP(E352,WKNrListe,Übersicht!$O$7:$O$46)))+(U352&lt;(LOOKUP(E352,WKNrListe,Übersicht!$P$7:$P$46))),"JG falsch",""))</f>
        <v/>
      </c>
      <c r="Y352" s="255" t="str">
        <f>IF((A352="")*(B352=""),"",IF(ISERROR(MATCH(E352,WKNrListe,0)),"WK falsch",LOOKUP(E352,WKNrListe,Übersicht!$B$7:$B$46)))</f>
        <v/>
      </c>
      <c r="Z352" s="269" t="str">
        <f>IF(((AJ352=0)*(AH352&lt;&gt;"")*(AK352="-"))+((AJ352&lt;&gt;0)*(AH352&lt;&gt;"")*(AK352="-")),IF(AG352="X",Übersicht!$C$70,Übersicht!$C$69),"-")</f>
        <v>-</v>
      </c>
      <c r="AA352" s="252" t="str">
        <f>IF((($A352="")*($B352=""))+((MID($Y352,1,4)&lt;&gt;"Wahl")*(Deckblatt!$C$14='WK-Vorlagen'!$C$82))+(Deckblatt!$C$14&lt;&gt;'WK-Vorlagen'!$C$82),"",IF(ISERROR(MATCH(VALUE(MID(G352,1,2)),Schwierigkeitsstufen!$G$7:$G$19,0)),"Gerät falsch",LOOKUP(VALUE(MID(G352,1,2)),Schwierigkeitsstufen!$G$7:$G$19,Schwierigkeitsstufen!$H$7:$H$19)))</f>
        <v/>
      </c>
      <c r="AB352" s="250" t="str">
        <f>IF((($A352="")*($B352=""))+((MID($Y352,1,4)&lt;&gt;"Wahl")*(Deckblatt!$C$14='WK-Vorlagen'!$C$82))+(Deckblatt!$C$14&lt;&gt;'WK-Vorlagen'!$C$82),"",IF(ISERROR(MATCH(VALUE(MID(H352,1,2)),Schwierigkeitsstufen!$G$7:$G$19,0)),"Gerät falsch",LOOKUP(VALUE(MID(H352,1,2)),Schwierigkeitsstufen!$G$7:$G$19,Schwierigkeitsstufen!$H$7:$H$19)))</f>
        <v/>
      </c>
      <c r="AC352" s="250" t="str">
        <f>IF((($A352="")*($B352=""))+((MID($Y352,1,4)&lt;&gt;"Wahl")*(Deckblatt!$C$14='WK-Vorlagen'!$C$82))+(Deckblatt!$C$14&lt;&gt;'WK-Vorlagen'!$C$82),"",IF(ISERROR(MATCH(VALUE(MID(I352,1,2)),Schwierigkeitsstufen!$G$7:$G$19,0)),"Gerät falsch",LOOKUP(VALUE(MID(I352,1,2)),Schwierigkeitsstufen!$G$7:$G$19,Schwierigkeitsstufen!$H$7:$H$19)))</f>
        <v/>
      </c>
      <c r="AD352" s="251" t="str">
        <f>IF((($A352="")*($B352=""))+((MID($Y352,1,4)&lt;&gt;"Wahl")*(Deckblatt!$C$14='WK-Vorlagen'!$C$82))+(Deckblatt!$C$14&lt;&gt;'WK-Vorlagen'!$C$82),"",IF(ISERROR(MATCH(VALUE(MID(J352,1,2)),Schwierigkeitsstufen!$G$7:$G$19,0)),"Gerät falsch",LOOKUP(VALUE(MID(J352,1,2)),Schwierigkeitsstufen!$G$7:$G$19,Schwierigkeitsstufen!$H$7:$H$19)))</f>
        <v/>
      </c>
      <c r="AE352" s="211"/>
      <c r="AG352" s="221" t="str">
        <f t="shared" si="45"/>
        <v/>
      </c>
      <c r="AH352" s="222" t="str">
        <f t="shared" si="47"/>
        <v/>
      </c>
      <c r="AI352" s="220">
        <f t="shared" si="52"/>
        <v>4</v>
      </c>
      <c r="AJ352" s="222">
        <f t="shared" si="48"/>
        <v>0</v>
      </c>
      <c r="AK352" s="299" t="str">
        <f>IF(ISERROR(LOOKUP(E352,WKNrListe,Übersicht!$R$7:$R$46)),"-",LOOKUP(E352,WKNrListe,Übersicht!$R$7:$R$46))</f>
        <v>-</v>
      </c>
      <c r="AL352" s="299" t="str">
        <f t="shared" si="51"/>
        <v>-</v>
      </c>
      <c r="AM352" s="303"/>
      <c r="AN352" s="174" t="str">
        <f t="shared" si="44"/>
        <v>Leer</v>
      </c>
    </row>
    <row r="353" spans="1:40" s="174" customFormat="1" ht="15" customHeight="1">
      <c r="A353" s="63"/>
      <c r="B353" s="63"/>
      <c r="C353" s="84"/>
      <c r="D353" s="85"/>
      <c r="E353" s="62"/>
      <c r="F353" s="62"/>
      <c r="G353" s="62"/>
      <c r="H353" s="62"/>
      <c r="I353" s="62"/>
      <c r="J353" s="62"/>
      <c r="K353" s="62"/>
      <c r="L353" s="62"/>
      <c r="M353" s="62"/>
      <c r="N353" s="62"/>
      <c r="O353" s="62"/>
      <c r="P353" s="62"/>
      <c r="Q353" s="62"/>
      <c r="R353" s="62"/>
      <c r="S353" s="258"/>
      <c r="T353" s="248" t="str">
        <f t="shared" si="49"/>
        <v/>
      </c>
      <c r="U353" s="249" t="str">
        <f t="shared" si="50"/>
        <v/>
      </c>
      <c r="V353" s="294" t="str">
        <f t="shared" si="46"/>
        <v/>
      </c>
      <c r="W353" s="294" t="str">
        <f>IF(((E353="")+(F353="")),"",IF(VLOOKUP(F353,Mannschaften!$A$1:$B$54,2,FALSE)&lt;&gt;E353,"Reiter Mannschaften füllen",""))</f>
        <v/>
      </c>
      <c r="X353" s="248" t="str">
        <f>IF(ISBLANK(C353),"",IF((U353&gt;(LOOKUP(E353,WKNrListe,Übersicht!$O$7:$O$46)))+(U353&lt;(LOOKUP(E353,WKNrListe,Übersicht!$P$7:$P$46))),"JG falsch",""))</f>
        <v/>
      </c>
      <c r="Y353" s="255" t="str">
        <f>IF((A353="")*(B353=""),"",IF(ISERROR(MATCH(E353,WKNrListe,0)),"WK falsch",LOOKUP(E353,WKNrListe,Übersicht!$B$7:$B$46)))</f>
        <v/>
      </c>
      <c r="Z353" s="269" t="str">
        <f>IF(((AJ353=0)*(AH353&lt;&gt;"")*(AK353="-"))+((AJ353&lt;&gt;0)*(AH353&lt;&gt;"")*(AK353="-")),IF(AG353="X",Übersicht!$C$70,Übersicht!$C$69),"-")</f>
        <v>-</v>
      </c>
      <c r="AA353" s="252" t="str">
        <f>IF((($A353="")*($B353=""))+((MID($Y353,1,4)&lt;&gt;"Wahl")*(Deckblatt!$C$14='WK-Vorlagen'!$C$82))+(Deckblatt!$C$14&lt;&gt;'WK-Vorlagen'!$C$82),"",IF(ISERROR(MATCH(VALUE(MID(G353,1,2)),Schwierigkeitsstufen!$G$7:$G$19,0)),"Gerät falsch",LOOKUP(VALUE(MID(G353,1,2)),Schwierigkeitsstufen!$G$7:$G$19,Schwierigkeitsstufen!$H$7:$H$19)))</f>
        <v/>
      </c>
      <c r="AB353" s="250" t="str">
        <f>IF((($A353="")*($B353=""))+((MID($Y353,1,4)&lt;&gt;"Wahl")*(Deckblatt!$C$14='WK-Vorlagen'!$C$82))+(Deckblatt!$C$14&lt;&gt;'WK-Vorlagen'!$C$82),"",IF(ISERROR(MATCH(VALUE(MID(H353,1,2)),Schwierigkeitsstufen!$G$7:$G$19,0)),"Gerät falsch",LOOKUP(VALUE(MID(H353,1,2)),Schwierigkeitsstufen!$G$7:$G$19,Schwierigkeitsstufen!$H$7:$H$19)))</f>
        <v/>
      </c>
      <c r="AC353" s="250" t="str">
        <f>IF((($A353="")*($B353=""))+((MID($Y353,1,4)&lt;&gt;"Wahl")*(Deckblatt!$C$14='WK-Vorlagen'!$C$82))+(Deckblatt!$C$14&lt;&gt;'WK-Vorlagen'!$C$82),"",IF(ISERROR(MATCH(VALUE(MID(I353,1,2)),Schwierigkeitsstufen!$G$7:$G$19,0)),"Gerät falsch",LOOKUP(VALUE(MID(I353,1,2)),Schwierigkeitsstufen!$G$7:$G$19,Schwierigkeitsstufen!$H$7:$H$19)))</f>
        <v/>
      </c>
      <c r="AD353" s="251" t="str">
        <f>IF((($A353="")*($B353=""))+((MID($Y353,1,4)&lt;&gt;"Wahl")*(Deckblatt!$C$14='WK-Vorlagen'!$C$82))+(Deckblatt!$C$14&lt;&gt;'WK-Vorlagen'!$C$82),"",IF(ISERROR(MATCH(VALUE(MID(J353,1,2)),Schwierigkeitsstufen!$G$7:$G$19,0)),"Gerät falsch",LOOKUP(VALUE(MID(J353,1,2)),Schwierigkeitsstufen!$G$7:$G$19,Schwierigkeitsstufen!$H$7:$H$19)))</f>
        <v/>
      </c>
      <c r="AE353" s="211"/>
      <c r="AG353" s="221" t="str">
        <f t="shared" si="45"/>
        <v/>
      </c>
      <c r="AH353" s="222" t="str">
        <f t="shared" si="47"/>
        <v/>
      </c>
      <c r="AI353" s="220">
        <f t="shared" si="52"/>
        <v>4</v>
      </c>
      <c r="AJ353" s="222">
        <f t="shared" si="48"/>
        <v>0</v>
      </c>
      <c r="AK353" s="299" t="str">
        <f>IF(ISERROR(LOOKUP(E353,WKNrListe,Übersicht!$R$7:$R$46)),"-",LOOKUP(E353,WKNrListe,Übersicht!$R$7:$R$46))</f>
        <v>-</v>
      </c>
      <c r="AL353" s="299" t="str">
        <f t="shared" si="51"/>
        <v>-</v>
      </c>
      <c r="AM353" s="303"/>
      <c r="AN353" s="174" t="str">
        <f t="shared" si="44"/>
        <v>Leer</v>
      </c>
    </row>
    <row r="354" spans="1:40" s="174" customFormat="1" ht="15" customHeight="1">
      <c r="A354" s="63"/>
      <c r="B354" s="63"/>
      <c r="C354" s="84"/>
      <c r="D354" s="85"/>
      <c r="E354" s="62"/>
      <c r="F354" s="62"/>
      <c r="G354" s="62"/>
      <c r="H354" s="62"/>
      <c r="I354" s="62"/>
      <c r="J354" s="62"/>
      <c r="K354" s="62"/>
      <c r="L354" s="62"/>
      <c r="M354" s="62"/>
      <c r="N354" s="62"/>
      <c r="O354" s="62"/>
      <c r="P354" s="62"/>
      <c r="Q354" s="62"/>
      <c r="R354" s="62"/>
      <c r="S354" s="258"/>
      <c r="T354" s="248" t="str">
        <f t="shared" si="49"/>
        <v/>
      </c>
      <c r="U354" s="249" t="str">
        <f t="shared" si="50"/>
        <v/>
      </c>
      <c r="V354" s="294" t="str">
        <f t="shared" si="46"/>
        <v/>
      </c>
      <c r="W354" s="294" t="str">
        <f>IF(((E354="")+(F354="")),"",IF(VLOOKUP(F354,Mannschaften!$A$1:$B$54,2,FALSE)&lt;&gt;E354,"Reiter Mannschaften füllen",""))</f>
        <v/>
      </c>
      <c r="X354" s="248" t="str">
        <f>IF(ISBLANK(C354),"",IF((U354&gt;(LOOKUP(E354,WKNrListe,Übersicht!$O$7:$O$46)))+(U354&lt;(LOOKUP(E354,WKNrListe,Übersicht!$P$7:$P$46))),"JG falsch",""))</f>
        <v/>
      </c>
      <c r="Y354" s="255" t="str">
        <f>IF((A354="")*(B354=""),"",IF(ISERROR(MATCH(E354,WKNrListe,0)),"WK falsch",LOOKUP(E354,WKNrListe,Übersicht!$B$7:$B$46)))</f>
        <v/>
      </c>
      <c r="Z354" s="269" t="str">
        <f>IF(((AJ354=0)*(AH354&lt;&gt;"")*(AK354="-"))+((AJ354&lt;&gt;0)*(AH354&lt;&gt;"")*(AK354="-")),IF(AG354="X",Übersicht!$C$70,Übersicht!$C$69),"-")</f>
        <v>-</v>
      </c>
      <c r="AA354" s="252" t="str">
        <f>IF((($A354="")*($B354=""))+((MID($Y354,1,4)&lt;&gt;"Wahl")*(Deckblatt!$C$14='WK-Vorlagen'!$C$82))+(Deckblatt!$C$14&lt;&gt;'WK-Vorlagen'!$C$82),"",IF(ISERROR(MATCH(VALUE(MID(G354,1,2)),Schwierigkeitsstufen!$G$7:$G$19,0)),"Gerät falsch",LOOKUP(VALUE(MID(G354,1,2)),Schwierigkeitsstufen!$G$7:$G$19,Schwierigkeitsstufen!$H$7:$H$19)))</f>
        <v/>
      </c>
      <c r="AB354" s="250" t="str">
        <f>IF((($A354="")*($B354=""))+((MID($Y354,1,4)&lt;&gt;"Wahl")*(Deckblatt!$C$14='WK-Vorlagen'!$C$82))+(Deckblatt!$C$14&lt;&gt;'WK-Vorlagen'!$C$82),"",IF(ISERROR(MATCH(VALUE(MID(H354,1,2)),Schwierigkeitsstufen!$G$7:$G$19,0)),"Gerät falsch",LOOKUP(VALUE(MID(H354,1,2)),Schwierigkeitsstufen!$G$7:$G$19,Schwierigkeitsstufen!$H$7:$H$19)))</f>
        <v/>
      </c>
      <c r="AC354" s="250" t="str">
        <f>IF((($A354="")*($B354=""))+((MID($Y354,1,4)&lt;&gt;"Wahl")*(Deckblatt!$C$14='WK-Vorlagen'!$C$82))+(Deckblatt!$C$14&lt;&gt;'WK-Vorlagen'!$C$82),"",IF(ISERROR(MATCH(VALUE(MID(I354,1,2)),Schwierigkeitsstufen!$G$7:$G$19,0)),"Gerät falsch",LOOKUP(VALUE(MID(I354,1,2)),Schwierigkeitsstufen!$G$7:$G$19,Schwierigkeitsstufen!$H$7:$H$19)))</f>
        <v/>
      </c>
      <c r="AD354" s="251" t="str">
        <f>IF((($A354="")*($B354=""))+((MID($Y354,1,4)&lt;&gt;"Wahl")*(Deckblatt!$C$14='WK-Vorlagen'!$C$82))+(Deckblatt!$C$14&lt;&gt;'WK-Vorlagen'!$C$82),"",IF(ISERROR(MATCH(VALUE(MID(J354,1,2)),Schwierigkeitsstufen!$G$7:$G$19,0)),"Gerät falsch",LOOKUP(VALUE(MID(J354,1,2)),Schwierigkeitsstufen!$G$7:$G$19,Schwierigkeitsstufen!$H$7:$H$19)))</f>
        <v/>
      </c>
      <c r="AE354" s="211"/>
      <c r="AG354" s="221" t="str">
        <f t="shared" si="45"/>
        <v/>
      </c>
      <c r="AH354" s="222" t="str">
        <f t="shared" si="47"/>
        <v/>
      </c>
      <c r="AI354" s="220">
        <f t="shared" si="52"/>
        <v>4</v>
      </c>
      <c r="AJ354" s="222">
        <f t="shared" si="48"/>
        <v>0</v>
      </c>
      <c r="AK354" s="299" t="str">
        <f>IF(ISERROR(LOOKUP(E354,WKNrListe,Übersicht!$R$7:$R$46)),"-",LOOKUP(E354,WKNrListe,Übersicht!$R$7:$R$46))</f>
        <v>-</v>
      </c>
      <c r="AL354" s="299" t="str">
        <f t="shared" si="51"/>
        <v>-</v>
      </c>
      <c r="AM354" s="303"/>
      <c r="AN354" s="174" t="str">
        <f t="shared" si="44"/>
        <v>Leer</v>
      </c>
    </row>
    <row r="355" spans="1:40" s="174" customFormat="1" ht="15" customHeight="1">
      <c r="A355" s="63"/>
      <c r="B355" s="63"/>
      <c r="C355" s="84"/>
      <c r="D355" s="85"/>
      <c r="E355" s="62"/>
      <c r="F355" s="62"/>
      <c r="G355" s="62"/>
      <c r="H355" s="62"/>
      <c r="I355" s="62"/>
      <c r="J355" s="62"/>
      <c r="K355" s="62"/>
      <c r="L355" s="62"/>
      <c r="M355" s="62"/>
      <c r="N355" s="62"/>
      <c r="O355" s="62"/>
      <c r="P355" s="62"/>
      <c r="Q355" s="62"/>
      <c r="R355" s="62"/>
      <c r="S355" s="258"/>
      <c r="T355" s="248" t="str">
        <f t="shared" si="49"/>
        <v/>
      </c>
      <c r="U355" s="249" t="str">
        <f t="shared" si="50"/>
        <v/>
      </c>
      <c r="V355" s="294" t="str">
        <f t="shared" si="46"/>
        <v/>
      </c>
      <c r="W355" s="294" t="str">
        <f>IF(((E355="")+(F355="")),"",IF(VLOOKUP(F355,Mannschaften!$A$1:$B$54,2,FALSE)&lt;&gt;E355,"Reiter Mannschaften füllen",""))</f>
        <v/>
      </c>
      <c r="X355" s="248" t="str">
        <f>IF(ISBLANK(C355),"",IF((U355&gt;(LOOKUP(E355,WKNrListe,Übersicht!$O$7:$O$46)))+(U355&lt;(LOOKUP(E355,WKNrListe,Übersicht!$P$7:$P$46))),"JG falsch",""))</f>
        <v/>
      </c>
      <c r="Y355" s="255" t="str">
        <f>IF((A355="")*(B355=""),"",IF(ISERROR(MATCH(E355,WKNrListe,0)),"WK falsch",LOOKUP(E355,WKNrListe,Übersicht!$B$7:$B$46)))</f>
        <v/>
      </c>
      <c r="Z355" s="269" t="str">
        <f>IF(((AJ355=0)*(AH355&lt;&gt;"")*(AK355="-"))+((AJ355&lt;&gt;0)*(AH355&lt;&gt;"")*(AK355="-")),IF(AG355="X",Übersicht!$C$70,Übersicht!$C$69),"-")</f>
        <v>-</v>
      </c>
      <c r="AA355" s="252" t="str">
        <f>IF((($A355="")*($B355=""))+((MID($Y355,1,4)&lt;&gt;"Wahl")*(Deckblatt!$C$14='WK-Vorlagen'!$C$82))+(Deckblatt!$C$14&lt;&gt;'WK-Vorlagen'!$C$82),"",IF(ISERROR(MATCH(VALUE(MID(G355,1,2)),Schwierigkeitsstufen!$G$7:$G$19,0)),"Gerät falsch",LOOKUP(VALUE(MID(G355,1,2)),Schwierigkeitsstufen!$G$7:$G$19,Schwierigkeitsstufen!$H$7:$H$19)))</f>
        <v/>
      </c>
      <c r="AB355" s="250" t="str">
        <f>IF((($A355="")*($B355=""))+((MID($Y355,1,4)&lt;&gt;"Wahl")*(Deckblatt!$C$14='WK-Vorlagen'!$C$82))+(Deckblatt!$C$14&lt;&gt;'WK-Vorlagen'!$C$82),"",IF(ISERROR(MATCH(VALUE(MID(H355,1,2)),Schwierigkeitsstufen!$G$7:$G$19,0)),"Gerät falsch",LOOKUP(VALUE(MID(H355,1,2)),Schwierigkeitsstufen!$G$7:$G$19,Schwierigkeitsstufen!$H$7:$H$19)))</f>
        <v/>
      </c>
      <c r="AC355" s="250" t="str">
        <f>IF((($A355="")*($B355=""))+((MID($Y355,1,4)&lt;&gt;"Wahl")*(Deckblatt!$C$14='WK-Vorlagen'!$C$82))+(Deckblatt!$C$14&lt;&gt;'WK-Vorlagen'!$C$82),"",IF(ISERROR(MATCH(VALUE(MID(I355,1,2)),Schwierigkeitsstufen!$G$7:$G$19,0)),"Gerät falsch",LOOKUP(VALUE(MID(I355,1,2)),Schwierigkeitsstufen!$G$7:$G$19,Schwierigkeitsstufen!$H$7:$H$19)))</f>
        <v/>
      </c>
      <c r="AD355" s="251" t="str">
        <f>IF((($A355="")*($B355=""))+((MID($Y355,1,4)&lt;&gt;"Wahl")*(Deckblatt!$C$14='WK-Vorlagen'!$C$82))+(Deckblatt!$C$14&lt;&gt;'WK-Vorlagen'!$C$82),"",IF(ISERROR(MATCH(VALUE(MID(J355,1,2)),Schwierigkeitsstufen!$G$7:$G$19,0)),"Gerät falsch",LOOKUP(VALUE(MID(J355,1,2)),Schwierigkeitsstufen!$G$7:$G$19,Schwierigkeitsstufen!$H$7:$H$19)))</f>
        <v/>
      </c>
      <c r="AE355" s="211"/>
      <c r="AG355" s="221" t="str">
        <f t="shared" si="45"/>
        <v/>
      </c>
      <c r="AH355" s="222" t="str">
        <f t="shared" si="47"/>
        <v/>
      </c>
      <c r="AI355" s="220">
        <f t="shared" si="52"/>
        <v>4</v>
      </c>
      <c r="AJ355" s="222">
        <f t="shared" si="48"/>
        <v>0</v>
      </c>
      <c r="AK355" s="299" t="str">
        <f>IF(ISERROR(LOOKUP(E355,WKNrListe,Übersicht!$R$7:$R$46)),"-",LOOKUP(E355,WKNrListe,Übersicht!$R$7:$R$46))</f>
        <v>-</v>
      </c>
      <c r="AL355" s="299" t="str">
        <f t="shared" si="51"/>
        <v>-</v>
      </c>
      <c r="AM355" s="303"/>
      <c r="AN355" s="174" t="str">
        <f t="shared" si="44"/>
        <v>Leer</v>
      </c>
    </row>
    <row r="356" spans="1:40" s="174" customFormat="1" ht="15" customHeight="1">
      <c r="A356" s="63"/>
      <c r="B356" s="63"/>
      <c r="C356" s="84"/>
      <c r="D356" s="85"/>
      <c r="E356" s="62"/>
      <c r="F356" s="62"/>
      <c r="G356" s="62"/>
      <c r="H356" s="62"/>
      <c r="I356" s="62"/>
      <c r="J356" s="62"/>
      <c r="K356" s="62"/>
      <c r="L356" s="62"/>
      <c r="M356" s="62"/>
      <c r="N356" s="62"/>
      <c r="O356" s="62"/>
      <c r="P356" s="62"/>
      <c r="Q356" s="62"/>
      <c r="R356" s="62"/>
      <c r="S356" s="258"/>
      <c r="T356" s="248" t="str">
        <f t="shared" si="49"/>
        <v/>
      </c>
      <c r="U356" s="249" t="str">
        <f t="shared" si="50"/>
        <v/>
      </c>
      <c r="V356" s="294" t="str">
        <f t="shared" si="46"/>
        <v/>
      </c>
      <c r="W356" s="294" t="str">
        <f>IF(((E356="")+(F356="")),"",IF(VLOOKUP(F356,Mannschaften!$A$1:$B$54,2,FALSE)&lt;&gt;E356,"Reiter Mannschaften füllen",""))</f>
        <v/>
      </c>
      <c r="X356" s="248" t="str">
        <f>IF(ISBLANK(C356),"",IF((U356&gt;(LOOKUP(E356,WKNrListe,Übersicht!$O$7:$O$46)))+(U356&lt;(LOOKUP(E356,WKNrListe,Übersicht!$P$7:$P$46))),"JG falsch",""))</f>
        <v/>
      </c>
      <c r="Y356" s="255" t="str">
        <f>IF((A356="")*(B356=""),"",IF(ISERROR(MATCH(E356,WKNrListe,0)),"WK falsch",LOOKUP(E356,WKNrListe,Übersicht!$B$7:$B$46)))</f>
        <v/>
      </c>
      <c r="Z356" s="269" t="str">
        <f>IF(((AJ356=0)*(AH356&lt;&gt;"")*(AK356="-"))+((AJ356&lt;&gt;0)*(AH356&lt;&gt;"")*(AK356="-")),IF(AG356="X",Übersicht!$C$70,Übersicht!$C$69),"-")</f>
        <v>-</v>
      </c>
      <c r="AA356" s="252" t="str">
        <f>IF((($A356="")*($B356=""))+((MID($Y356,1,4)&lt;&gt;"Wahl")*(Deckblatt!$C$14='WK-Vorlagen'!$C$82))+(Deckblatt!$C$14&lt;&gt;'WK-Vorlagen'!$C$82),"",IF(ISERROR(MATCH(VALUE(MID(G356,1,2)),Schwierigkeitsstufen!$G$7:$G$19,0)),"Gerät falsch",LOOKUP(VALUE(MID(G356,1,2)),Schwierigkeitsstufen!$G$7:$G$19,Schwierigkeitsstufen!$H$7:$H$19)))</f>
        <v/>
      </c>
      <c r="AB356" s="250" t="str">
        <f>IF((($A356="")*($B356=""))+((MID($Y356,1,4)&lt;&gt;"Wahl")*(Deckblatt!$C$14='WK-Vorlagen'!$C$82))+(Deckblatt!$C$14&lt;&gt;'WK-Vorlagen'!$C$82),"",IF(ISERROR(MATCH(VALUE(MID(H356,1,2)),Schwierigkeitsstufen!$G$7:$G$19,0)),"Gerät falsch",LOOKUP(VALUE(MID(H356,1,2)),Schwierigkeitsstufen!$G$7:$G$19,Schwierigkeitsstufen!$H$7:$H$19)))</f>
        <v/>
      </c>
      <c r="AC356" s="250" t="str">
        <f>IF((($A356="")*($B356=""))+((MID($Y356,1,4)&lt;&gt;"Wahl")*(Deckblatt!$C$14='WK-Vorlagen'!$C$82))+(Deckblatt!$C$14&lt;&gt;'WK-Vorlagen'!$C$82),"",IF(ISERROR(MATCH(VALUE(MID(I356,1,2)),Schwierigkeitsstufen!$G$7:$G$19,0)),"Gerät falsch",LOOKUP(VALUE(MID(I356,1,2)),Schwierigkeitsstufen!$G$7:$G$19,Schwierigkeitsstufen!$H$7:$H$19)))</f>
        <v/>
      </c>
      <c r="AD356" s="251" t="str">
        <f>IF((($A356="")*($B356=""))+((MID($Y356,1,4)&lt;&gt;"Wahl")*(Deckblatt!$C$14='WK-Vorlagen'!$C$82))+(Deckblatt!$C$14&lt;&gt;'WK-Vorlagen'!$C$82),"",IF(ISERROR(MATCH(VALUE(MID(J356,1,2)),Schwierigkeitsstufen!$G$7:$G$19,0)),"Gerät falsch",LOOKUP(VALUE(MID(J356,1,2)),Schwierigkeitsstufen!$G$7:$G$19,Schwierigkeitsstufen!$H$7:$H$19)))</f>
        <v/>
      </c>
      <c r="AE356" s="211"/>
      <c r="AG356" s="221" t="str">
        <f t="shared" si="45"/>
        <v/>
      </c>
      <c r="AH356" s="222" t="str">
        <f t="shared" si="47"/>
        <v/>
      </c>
      <c r="AI356" s="220">
        <f t="shared" si="52"/>
        <v>4</v>
      </c>
      <c r="AJ356" s="222">
        <f t="shared" si="48"/>
        <v>0</v>
      </c>
      <c r="AK356" s="299" t="str">
        <f>IF(ISERROR(LOOKUP(E356,WKNrListe,Übersicht!$R$7:$R$46)),"-",LOOKUP(E356,WKNrListe,Übersicht!$R$7:$R$46))</f>
        <v>-</v>
      </c>
      <c r="AL356" s="299" t="str">
        <f t="shared" si="51"/>
        <v>-</v>
      </c>
      <c r="AM356" s="303"/>
      <c r="AN356" s="174" t="str">
        <f t="shared" si="44"/>
        <v>Leer</v>
      </c>
    </row>
    <row r="357" spans="1:40" s="174" customFormat="1" ht="15" customHeight="1">
      <c r="A357" s="63"/>
      <c r="B357" s="63"/>
      <c r="C357" s="84"/>
      <c r="D357" s="85"/>
      <c r="E357" s="62"/>
      <c r="F357" s="62"/>
      <c r="G357" s="62"/>
      <c r="H357" s="62"/>
      <c r="I357" s="62"/>
      <c r="J357" s="62"/>
      <c r="K357" s="62"/>
      <c r="L357" s="62"/>
      <c r="M357" s="62"/>
      <c r="N357" s="62"/>
      <c r="O357" s="62"/>
      <c r="P357" s="62"/>
      <c r="Q357" s="62"/>
      <c r="R357" s="62"/>
      <c r="S357" s="258"/>
      <c r="T357" s="248" t="str">
        <f t="shared" si="49"/>
        <v/>
      </c>
      <c r="U357" s="249" t="str">
        <f t="shared" si="50"/>
        <v/>
      </c>
      <c r="V357" s="294" t="str">
        <f t="shared" si="46"/>
        <v/>
      </c>
      <c r="W357" s="294" t="str">
        <f>IF(((E357="")+(F357="")),"",IF(VLOOKUP(F357,Mannschaften!$A$1:$B$54,2,FALSE)&lt;&gt;E357,"Reiter Mannschaften füllen",""))</f>
        <v/>
      </c>
      <c r="X357" s="248" t="str">
        <f>IF(ISBLANK(C357),"",IF((U357&gt;(LOOKUP(E357,WKNrListe,Übersicht!$O$7:$O$46)))+(U357&lt;(LOOKUP(E357,WKNrListe,Übersicht!$P$7:$P$46))),"JG falsch",""))</f>
        <v/>
      </c>
      <c r="Y357" s="255" t="str">
        <f>IF((A357="")*(B357=""),"",IF(ISERROR(MATCH(E357,WKNrListe,0)),"WK falsch",LOOKUP(E357,WKNrListe,Übersicht!$B$7:$B$46)))</f>
        <v/>
      </c>
      <c r="Z357" s="269" t="str">
        <f>IF(((AJ357=0)*(AH357&lt;&gt;"")*(AK357="-"))+((AJ357&lt;&gt;0)*(AH357&lt;&gt;"")*(AK357="-")),IF(AG357="X",Übersicht!$C$70,Übersicht!$C$69),"-")</f>
        <v>-</v>
      </c>
      <c r="AA357" s="252" t="str">
        <f>IF((($A357="")*($B357=""))+((MID($Y357,1,4)&lt;&gt;"Wahl")*(Deckblatt!$C$14='WK-Vorlagen'!$C$82))+(Deckblatt!$C$14&lt;&gt;'WK-Vorlagen'!$C$82),"",IF(ISERROR(MATCH(VALUE(MID(G357,1,2)),Schwierigkeitsstufen!$G$7:$G$19,0)),"Gerät falsch",LOOKUP(VALUE(MID(G357,1,2)),Schwierigkeitsstufen!$G$7:$G$19,Schwierigkeitsstufen!$H$7:$H$19)))</f>
        <v/>
      </c>
      <c r="AB357" s="250" t="str">
        <f>IF((($A357="")*($B357=""))+((MID($Y357,1,4)&lt;&gt;"Wahl")*(Deckblatt!$C$14='WK-Vorlagen'!$C$82))+(Deckblatt!$C$14&lt;&gt;'WK-Vorlagen'!$C$82),"",IF(ISERROR(MATCH(VALUE(MID(H357,1,2)),Schwierigkeitsstufen!$G$7:$G$19,0)),"Gerät falsch",LOOKUP(VALUE(MID(H357,1,2)),Schwierigkeitsstufen!$G$7:$G$19,Schwierigkeitsstufen!$H$7:$H$19)))</f>
        <v/>
      </c>
      <c r="AC357" s="250" t="str">
        <f>IF((($A357="")*($B357=""))+((MID($Y357,1,4)&lt;&gt;"Wahl")*(Deckblatt!$C$14='WK-Vorlagen'!$C$82))+(Deckblatt!$C$14&lt;&gt;'WK-Vorlagen'!$C$82),"",IF(ISERROR(MATCH(VALUE(MID(I357,1,2)),Schwierigkeitsstufen!$G$7:$G$19,0)),"Gerät falsch",LOOKUP(VALUE(MID(I357,1,2)),Schwierigkeitsstufen!$G$7:$G$19,Schwierigkeitsstufen!$H$7:$H$19)))</f>
        <v/>
      </c>
      <c r="AD357" s="251" t="str">
        <f>IF((($A357="")*($B357=""))+((MID($Y357,1,4)&lt;&gt;"Wahl")*(Deckblatt!$C$14='WK-Vorlagen'!$C$82))+(Deckblatt!$C$14&lt;&gt;'WK-Vorlagen'!$C$82),"",IF(ISERROR(MATCH(VALUE(MID(J357,1,2)),Schwierigkeitsstufen!$G$7:$G$19,0)),"Gerät falsch",LOOKUP(VALUE(MID(J357,1,2)),Schwierigkeitsstufen!$G$7:$G$19,Schwierigkeitsstufen!$H$7:$H$19)))</f>
        <v/>
      </c>
      <c r="AE357" s="211"/>
      <c r="AG357" s="221" t="str">
        <f t="shared" si="45"/>
        <v/>
      </c>
      <c r="AH357" s="222" t="str">
        <f t="shared" si="47"/>
        <v/>
      </c>
      <c r="AI357" s="220">
        <f t="shared" si="52"/>
        <v>4</v>
      </c>
      <c r="AJ357" s="222">
        <f t="shared" si="48"/>
        <v>0</v>
      </c>
      <c r="AK357" s="299" t="str">
        <f>IF(ISERROR(LOOKUP(E357,WKNrListe,Übersicht!$R$7:$R$46)),"-",LOOKUP(E357,WKNrListe,Übersicht!$R$7:$R$46))</f>
        <v>-</v>
      </c>
      <c r="AL357" s="299" t="str">
        <f t="shared" si="51"/>
        <v>-</v>
      </c>
      <c r="AM357" s="303"/>
      <c r="AN357" s="174" t="str">
        <f t="shared" si="44"/>
        <v>Leer</v>
      </c>
    </row>
    <row r="358" spans="1:40" s="174" customFormat="1" ht="15" customHeight="1">
      <c r="A358" s="63"/>
      <c r="B358" s="63"/>
      <c r="C358" s="84"/>
      <c r="D358" s="85"/>
      <c r="E358" s="62"/>
      <c r="F358" s="62"/>
      <c r="G358" s="62"/>
      <c r="H358" s="62"/>
      <c r="I358" s="62"/>
      <c r="J358" s="62"/>
      <c r="K358" s="62"/>
      <c r="L358" s="62"/>
      <c r="M358" s="62"/>
      <c r="N358" s="62"/>
      <c r="O358" s="62"/>
      <c r="P358" s="62"/>
      <c r="Q358" s="62"/>
      <c r="R358" s="62"/>
      <c r="S358" s="258"/>
      <c r="T358" s="248" t="str">
        <f t="shared" si="49"/>
        <v/>
      </c>
      <c r="U358" s="249" t="str">
        <f t="shared" si="50"/>
        <v/>
      </c>
      <c r="V358" s="294" t="str">
        <f t="shared" si="46"/>
        <v/>
      </c>
      <c r="W358" s="294" t="str">
        <f>IF(((E358="")+(F358="")),"",IF(VLOOKUP(F358,Mannschaften!$A$1:$B$54,2,FALSE)&lt;&gt;E358,"Reiter Mannschaften füllen",""))</f>
        <v/>
      </c>
      <c r="X358" s="248" t="str">
        <f>IF(ISBLANK(C358),"",IF((U358&gt;(LOOKUP(E358,WKNrListe,Übersicht!$O$7:$O$46)))+(U358&lt;(LOOKUP(E358,WKNrListe,Übersicht!$P$7:$P$46))),"JG falsch",""))</f>
        <v/>
      </c>
      <c r="Y358" s="255" t="str">
        <f>IF((A358="")*(B358=""),"",IF(ISERROR(MATCH(E358,WKNrListe,0)),"WK falsch",LOOKUP(E358,WKNrListe,Übersicht!$B$7:$B$46)))</f>
        <v/>
      </c>
      <c r="Z358" s="269" t="str">
        <f>IF(((AJ358=0)*(AH358&lt;&gt;"")*(AK358="-"))+((AJ358&lt;&gt;0)*(AH358&lt;&gt;"")*(AK358="-")),IF(AG358="X",Übersicht!$C$70,Übersicht!$C$69),"-")</f>
        <v>-</v>
      </c>
      <c r="AA358" s="252" t="str">
        <f>IF((($A358="")*($B358=""))+((MID($Y358,1,4)&lt;&gt;"Wahl")*(Deckblatt!$C$14='WK-Vorlagen'!$C$82))+(Deckblatt!$C$14&lt;&gt;'WK-Vorlagen'!$C$82),"",IF(ISERROR(MATCH(VALUE(MID(G358,1,2)),Schwierigkeitsstufen!$G$7:$G$19,0)),"Gerät falsch",LOOKUP(VALUE(MID(G358,1,2)),Schwierigkeitsstufen!$G$7:$G$19,Schwierigkeitsstufen!$H$7:$H$19)))</f>
        <v/>
      </c>
      <c r="AB358" s="250" t="str">
        <f>IF((($A358="")*($B358=""))+((MID($Y358,1,4)&lt;&gt;"Wahl")*(Deckblatt!$C$14='WK-Vorlagen'!$C$82))+(Deckblatt!$C$14&lt;&gt;'WK-Vorlagen'!$C$82),"",IF(ISERROR(MATCH(VALUE(MID(H358,1,2)),Schwierigkeitsstufen!$G$7:$G$19,0)),"Gerät falsch",LOOKUP(VALUE(MID(H358,1,2)),Schwierigkeitsstufen!$G$7:$G$19,Schwierigkeitsstufen!$H$7:$H$19)))</f>
        <v/>
      </c>
      <c r="AC358" s="250" t="str">
        <f>IF((($A358="")*($B358=""))+((MID($Y358,1,4)&lt;&gt;"Wahl")*(Deckblatt!$C$14='WK-Vorlagen'!$C$82))+(Deckblatt!$C$14&lt;&gt;'WK-Vorlagen'!$C$82),"",IF(ISERROR(MATCH(VALUE(MID(I358,1,2)),Schwierigkeitsstufen!$G$7:$G$19,0)),"Gerät falsch",LOOKUP(VALUE(MID(I358,1,2)),Schwierigkeitsstufen!$G$7:$G$19,Schwierigkeitsstufen!$H$7:$H$19)))</f>
        <v/>
      </c>
      <c r="AD358" s="251" t="str">
        <f>IF((($A358="")*($B358=""))+((MID($Y358,1,4)&lt;&gt;"Wahl")*(Deckblatt!$C$14='WK-Vorlagen'!$C$82))+(Deckblatt!$C$14&lt;&gt;'WK-Vorlagen'!$C$82),"",IF(ISERROR(MATCH(VALUE(MID(J358,1,2)),Schwierigkeitsstufen!$G$7:$G$19,0)),"Gerät falsch",LOOKUP(VALUE(MID(J358,1,2)),Schwierigkeitsstufen!$G$7:$G$19,Schwierigkeitsstufen!$H$7:$H$19)))</f>
        <v/>
      </c>
      <c r="AE358" s="211"/>
      <c r="AG358" s="221" t="str">
        <f t="shared" si="45"/>
        <v/>
      </c>
      <c r="AH358" s="222" t="str">
        <f t="shared" si="47"/>
        <v/>
      </c>
      <c r="AI358" s="220">
        <f t="shared" si="52"/>
        <v>4</v>
      </c>
      <c r="AJ358" s="222">
        <f t="shared" si="48"/>
        <v>0</v>
      </c>
      <c r="AK358" s="299" t="str">
        <f>IF(ISERROR(LOOKUP(E358,WKNrListe,Übersicht!$R$7:$R$46)),"-",LOOKUP(E358,WKNrListe,Übersicht!$R$7:$R$46))</f>
        <v>-</v>
      </c>
      <c r="AL358" s="299" t="str">
        <f t="shared" si="51"/>
        <v>-</v>
      </c>
      <c r="AM358" s="303"/>
      <c r="AN358" s="174" t="str">
        <f t="shared" si="44"/>
        <v>Leer</v>
      </c>
    </row>
    <row r="359" spans="1:40" s="174" customFormat="1" ht="15" customHeight="1">
      <c r="A359" s="63"/>
      <c r="B359" s="63"/>
      <c r="C359" s="84"/>
      <c r="D359" s="85"/>
      <c r="E359" s="62"/>
      <c r="F359" s="62"/>
      <c r="G359" s="62"/>
      <c r="H359" s="62"/>
      <c r="I359" s="62"/>
      <c r="J359" s="62"/>
      <c r="K359" s="62"/>
      <c r="L359" s="62"/>
      <c r="M359" s="62"/>
      <c r="N359" s="62"/>
      <c r="O359" s="62"/>
      <c r="P359" s="62"/>
      <c r="Q359" s="62"/>
      <c r="R359" s="62"/>
      <c r="S359" s="258"/>
      <c r="T359" s="248" t="str">
        <f t="shared" si="49"/>
        <v/>
      </c>
      <c r="U359" s="249" t="str">
        <f t="shared" si="50"/>
        <v/>
      </c>
      <c r="V359" s="294" t="str">
        <f t="shared" si="46"/>
        <v/>
      </c>
      <c r="W359" s="294" t="str">
        <f>IF(((E359="")+(F359="")),"",IF(VLOOKUP(F359,Mannschaften!$A$1:$B$54,2,FALSE)&lt;&gt;E359,"Reiter Mannschaften füllen",""))</f>
        <v/>
      </c>
      <c r="X359" s="248" t="str">
        <f>IF(ISBLANK(C359),"",IF((U359&gt;(LOOKUP(E359,WKNrListe,Übersicht!$O$7:$O$46)))+(U359&lt;(LOOKUP(E359,WKNrListe,Übersicht!$P$7:$P$46))),"JG falsch",""))</f>
        <v/>
      </c>
      <c r="Y359" s="255" t="str">
        <f>IF((A359="")*(B359=""),"",IF(ISERROR(MATCH(E359,WKNrListe,0)),"WK falsch",LOOKUP(E359,WKNrListe,Übersicht!$B$7:$B$46)))</f>
        <v/>
      </c>
      <c r="Z359" s="269" t="str">
        <f>IF(((AJ359=0)*(AH359&lt;&gt;"")*(AK359="-"))+((AJ359&lt;&gt;0)*(AH359&lt;&gt;"")*(AK359="-")),IF(AG359="X",Übersicht!$C$70,Übersicht!$C$69),"-")</f>
        <v>-</v>
      </c>
      <c r="AA359" s="252" t="str">
        <f>IF((($A359="")*($B359=""))+((MID($Y359,1,4)&lt;&gt;"Wahl")*(Deckblatt!$C$14='WK-Vorlagen'!$C$82))+(Deckblatt!$C$14&lt;&gt;'WK-Vorlagen'!$C$82),"",IF(ISERROR(MATCH(VALUE(MID(G359,1,2)),Schwierigkeitsstufen!$G$7:$G$19,0)),"Gerät falsch",LOOKUP(VALUE(MID(G359,1,2)),Schwierigkeitsstufen!$G$7:$G$19,Schwierigkeitsstufen!$H$7:$H$19)))</f>
        <v/>
      </c>
      <c r="AB359" s="250" t="str">
        <f>IF((($A359="")*($B359=""))+((MID($Y359,1,4)&lt;&gt;"Wahl")*(Deckblatt!$C$14='WK-Vorlagen'!$C$82))+(Deckblatt!$C$14&lt;&gt;'WK-Vorlagen'!$C$82),"",IF(ISERROR(MATCH(VALUE(MID(H359,1,2)),Schwierigkeitsstufen!$G$7:$G$19,0)),"Gerät falsch",LOOKUP(VALUE(MID(H359,1,2)),Schwierigkeitsstufen!$G$7:$G$19,Schwierigkeitsstufen!$H$7:$H$19)))</f>
        <v/>
      </c>
      <c r="AC359" s="250" t="str">
        <f>IF((($A359="")*($B359=""))+((MID($Y359,1,4)&lt;&gt;"Wahl")*(Deckblatt!$C$14='WK-Vorlagen'!$C$82))+(Deckblatt!$C$14&lt;&gt;'WK-Vorlagen'!$C$82),"",IF(ISERROR(MATCH(VALUE(MID(I359,1,2)),Schwierigkeitsstufen!$G$7:$G$19,0)),"Gerät falsch",LOOKUP(VALUE(MID(I359,1,2)),Schwierigkeitsstufen!$G$7:$G$19,Schwierigkeitsstufen!$H$7:$H$19)))</f>
        <v/>
      </c>
      <c r="AD359" s="251" t="str">
        <f>IF((($A359="")*($B359=""))+((MID($Y359,1,4)&lt;&gt;"Wahl")*(Deckblatt!$C$14='WK-Vorlagen'!$C$82))+(Deckblatt!$C$14&lt;&gt;'WK-Vorlagen'!$C$82),"",IF(ISERROR(MATCH(VALUE(MID(J359,1,2)),Schwierigkeitsstufen!$G$7:$G$19,0)),"Gerät falsch",LOOKUP(VALUE(MID(J359,1,2)),Schwierigkeitsstufen!$G$7:$G$19,Schwierigkeitsstufen!$H$7:$H$19)))</f>
        <v/>
      </c>
      <c r="AE359" s="211"/>
      <c r="AG359" s="221" t="str">
        <f t="shared" si="45"/>
        <v/>
      </c>
      <c r="AH359" s="222" t="str">
        <f t="shared" si="47"/>
        <v/>
      </c>
      <c r="AI359" s="220">
        <f t="shared" si="52"/>
        <v>4</v>
      </c>
      <c r="AJ359" s="222">
        <f t="shared" si="48"/>
        <v>0</v>
      </c>
      <c r="AK359" s="299" t="str">
        <f>IF(ISERROR(LOOKUP(E359,WKNrListe,Übersicht!$R$7:$R$46)),"-",LOOKUP(E359,WKNrListe,Übersicht!$R$7:$R$46))</f>
        <v>-</v>
      </c>
      <c r="AL359" s="299" t="str">
        <f t="shared" si="51"/>
        <v>-</v>
      </c>
      <c r="AM359" s="303"/>
      <c r="AN359" s="174" t="str">
        <f t="shared" si="44"/>
        <v>Leer</v>
      </c>
    </row>
    <row r="360" spans="1:40" s="174" customFormat="1" ht="15" customHeight="1">
      <c r="A360" s="63"/>
      <c r="B360" s="63"/>
      <c r="C360" s="84"/>
      <c r="D360" s="85"/>
      <c r="E360" s="62"/>
      <c r="F360" s="62"/>
      <c r="G360" s="62"/>
      <c r="H360" s="62"/>
      <c r="I360" s="62"/>
      <c r="J360" s="62"/>
      <c r="K360" s="62"/>
      <c r="L360" s="62"/>
      <c r="M360" s="62"/>
      <c r="N360" s="62"/>
      <c r="O360" s="62"/>
      <c r="P360" s="62"/>
      <c r="Q360" s="62"/>
      <c r="R360" s="62"/>
      <c r="S360" s="258"/>
      <c r="T360" s="248" t="str">
        <f t="shared" si="49"/>
        <v/>
      </c>
      <c r="U360" s="249" t="str">
        <f t="shared" si="50"/>
        <v/>
      </c>
      <c r="V360" s="294" t="str">
        <f t="shared" si="46"/>
        <v/>
      </c>
      <c r="W360" s="294" t="str">
        <f>IF(((E360="")+(F360="")),"",IF(VLOOKUP(F360,Mannschaften!$A$1:$B$54,2,FALSE)&lt;&gt;E360,"Reiter Mannschaften füllen",""))</f>
        <v/>
      </c>
      <c r="X360" s="248" t="str">
        <f>IF(ISBLANK(C360),"",IF((U360&gt;(LOOKUP(E360,WKNrListe,Übersicht!$O$7:$O$46)))+(U360&lt;(LOOKUP(E360,WKNrListe,Übersicht!$P$7:$P$46))),"JG falsch",""))</f>
        <v/>
      </c>
      <c r="Y360" s="255" t="str">
        <f>IF((A360="")*(B360=""),"",IF(ISERROR(MATCH(E360,WKNrListe,0)),"WK falsch",LOOKUP(E360,WKNrListe,Übersicht!$B$7:$B$46)))</f>
        <v/>
      </c>
      <c r="Z360" s="269" t="str">
        <f>IF(((AJ360=0)*(AH360&lt;&gt;"")*(AK360="-"))+((AJ360&lt;&gt;0)*(AH360&lt;&gt;"")*(AK360="-")),IF(AG360="X",Übersicht!$C$70,Übersicht!$C$69),"-")</f>
        <v>-</v>
      </c>
      <c r="AA360" s="252" t="str">
        <f>IF((($A360="")*($B360=""))+((MID($Y360,1,4)&lt;&gt;"Wahl")*(Deckblatt!$C$14='WK-Vorlagen'!$C$82))+(Deckblatt!$C$14&lt;&gt;'WK-Vorlagen'!$C$82),"",IF(ISERROR(MATCH(VALUE(MID(G360,1,2)),Schwierigkeitsstufen!$G$7:$G$19,0)),"Gerät falsch",LOOKUP(VALUE(MID(G360,1,2)),Schwierigkeitsstufen!$G$7:$G$19,Schwierigkeitsstufen!$H$7:$H$19)))</f>
        <v/>
      </c>
      <c r="AB360" s="250" t="str">
        <f>IF((($A360="")*($B360=""))+((MID($Y360,1,4)&lt;&gt;"Wahl")*(Deckblatt!$C$14='WK-Vorlagen'!$C$82))+(Deckblatt!$C$14&lt;&gt;'WK-Vorlagen'!$C$82),"",IF(ISERROR(MATCH(VALUE(MID(H360,1,2)),Schwierigkeitsstufen!$G$7:$G$19,0)),"Gerät falsch",LOOKUP(VALUE(MID(H360,1,2)),Schwierigkeitsstufen!$G$7:$G$19,Schwierigkeitsstufen!$H$7:$H$19)))</f>
        <v/>
      </c>
      <c r="AC360" s="250" t="str">
        <f>IF((($A360="")*($B360=""))+((MID($Y360,1,4)&lt;&gt;"Wahl")*(Deckblatt!$C$14='WK-Vorlagen'!$C$82))+(Deckblatt!$C$14&lt;&gt;'WK-Vorlagen'!$C$82),"",IF(ISERROR(MATCH(VALUE(MID(I360,1,2)),Schwierigkeitsstufen!$G$7:$G$19,0)),"Gerät falsch",LOOKUP(VALUE(MID(I360,1,2)),Schwierigkeitsstufen!$G$7:$G$19,Schwierigkeitsstufen!$H$7:$H$19)))</f>
        <v/>
      </c>
      <c r="AD360" s="251" t="str">
        <f>IF((($A360="")*($B360=""))+((MID($Y360,1,4)&lt;&gt;"Wahl")*(Deckblatt!$C$14='WK-Vorlagen'!$C$82))+(Deckblatt!$C$14&lt;&gt;'WK-Vorlagen'!$C$82),"",IF(ISERROR(MATCH(VALUE(MID(J360,1,2)),Schwierigkeitsstufen!$G$7:$G$19,0)),"Gerät falsch",LOOKUP(VALUE(MID(J360,1,2)),Schwierigkeitsstufen!$G$7:$G$19,Schwierigkeitsstufen!$H$7:$H$19)))</f>
        <v/>
      </c>
      <c r="AE360" s="211"/>
      <c r="AG360" s="221" t="str">
        <f t="shared" si="45"/>
        <v/>
      </c>
      <c r="AH360" s="222" t="str">
        <f t="shared" si="47"/>
        <v/>
      </c>
      <c r="AI360" s="220">
        <f t="shared" si="52"/>
        <v>4</v>
      </c>
      <c r="AJ360" s="222">
        <f t="shared" si="48"/>
        <v>0</v>
      </c>
      <c r="AK360" s="299" t="str">
        <f>IF(ISERROR(LOOKUP(E360,WKNrListe,Übersicht!$R$7:$R$46)),"-",LOOKUP(E360,WKNrListe,Übersicht!$R$7:$R$46))</f>
        <v>-</v>
      </c>
      <c r="AL360" s="299" t="str">
        <f t="shared" si="51"/>
        <v>-</v>
      </c>
      <c r="AM360" s="303"/>
      <c r="AN360" s="174" t="str">
        <f t="shared" si="44"/>
        <v>Leer</v>
      </c>
    </row>
    <row r="361" spans="1:40" s="174" customFormat="1" ht="15" customHeight="1">
      <c r="A361" s="63"/>
      <c r="B361" s="63"/>
      <c r="C361" s="84"/>
      <c r="D361" s="85"/>
      <c r="E361" s="62"/>
      <c r="F361" s="62"/>
      <c r="G361" s="62"/>
      <c r="H361" s="62"/>
      <c r="I361" s="62"/>
      <c r="J361" s="62"/>
      <c r="K361" s="62"/>
      <c r="L361" s="62"/>
      <c r="M361" s="62"/>
      <c r="N361" s="62"/>
      <c r="O361" s="62"/>
      <c r="P361" s="62"/>
      <c r="Q361" s="62"/>
      <c r="R361" s="62"/>
      <c r="S361" s="258"/>
      <c r="T361" s="248" t="str">
        <f t="shared" si="49"/>
        <v/>
      </c>
      <c r="U361" s="249" t="str">
        <f t="shared" si="50"/>
        <v/>
      </c>
      <c r="V361" s="294" t="str">
        <f t="shared" si="46"/>
        <v/>
      </c>
      <c r="W361" s="294" t="str">
        <f>IF(((E361="")+(F361="")),"",IF(VLOOKUP(F361,Mannschaften!$A$1:$B$54,2,FALSE)&lt;&gt;E361,"Reiter Mannschaften füllen",""))</f>
        <v/>
      </c>
      <c r="X361" s="248" t="str">
        <f>IF(ISBLANK(C361),"",IF((U361&gt;(LOOKUP(E361,WKNrListe,Übersicht!$O$7:$O$46)))+(U361&lt;(LOOKUP(E361,WKNrListe,Übersicht!$P$7:$P$46))),"JG falsch",""))</f>
        <v/>
      </c>
      <c r="Y361" s="255" t="str">
        <f>IF((A361="")*(B361=""),"",IF(ISERROR(MATCH(E361,WKNrListe,0)),"WK falsch",LOOKUP(E361,WKNrListe,Übersicht!$B$7:$B$46)))</f>
        <v/>
      </c>
      <c r="Z361" s="269" t="str">
        <f>IF(((AJ361=0)*(AH361&lt;&gt;"")*(AK361="-"))+((AJ361&lt;&gt;0)*(AH361&lt;&gt;"")*(AK361="-")),IF(AG361="X",Übersicht!$C$70,Übersicht!$C$69),"-")</f>
        <v>-</v>
      </c>
      <c r="AA361" s="252" t="str">
        <f>IF((($A361="")*($B361=""))+((MID($Y361,1,4)&lt;&gt;"Wahl")*(Deckblatt!$C$14='WK-Vorlagen'!$C$82))+(Deckblatt!$C$14&lt;&gt;'WK-Vorlagen'!$C$82),"",IF(ISERROR(MATCH(VALUE(MID(G361,1,2)),Schwierigkeitsstufen!$G$7:$G$19,0)),"Gerät falsch",LOOKUP(VALUE(MID(G361,1,2)),Schwierigkeitsstufen!$G$7:$G$19,Schwierigkeitsstufen!$H$7:$H$19)))</f>
        <v/>
      </c>
      <c r="AB361" s="250" t="str">
        <f>IF((($A361="")*($B361=""))+((MID($Y361,1,4)&lt;&gt;"Wahl")*(Deckblatt!$C$14='WK-Vorlagen'!$C$82))+(Deckblatt!$C$14&lt;&gt;'WK-Vorlagen'!$C$82),"",IF(ISERROR(MATCH(VALUE(MID(H361,1,2)),Schwierigkeitsstufen!$G$7:$G$19,0)),"Gerät falsch",LOOKUP(VALUE(MID(H361,1,2)),Schwierigkeitsstufen!$G$7:$G$19,Schwierigkeitsstufen!$H$7:$H$19)))</f>
        <v/>
      </c>
      <c r="AC361" s="250" t="str">
        <f>IF((($A361="")*($B361=""))+((MID($Y361,1,4)&lt;&gt;"Wahl")*(Deckblatt!$C$14='WK-Vorlagen'!$C$82))+(Deckblatt!$C$14&lt;&gt;'WK-Vorlagen'!$C$82),"",IF(ISERROR(MATCH(VALUE(MID(I361,1,2)),Schwierigkeitsstufen!$G$7:$G$19,0)),"Gerät falsch",LOOKUP(VALUE(MID(I361,1,2)),Schwierigkeitsstufen!$G$7:$G$19,Schwierigkeitsstufen!$H$7:$H$19)))</f>
        <v/>
      </c>
      <c r="AD361" s="251" t="str">
        <f>IF((($A361="")*($B361=""))+((MID($Y361,1,4)&lt;&gt;"Wahl")*(Deckblatt!$C$14='WK-Vorlagen'!$C$82))+(Deckblatt!$C$14&lt;&gt;'WK-Vorlagen'!$C$82),"",IF(ISERROR(MATCH(VALUE(MID(J361,1,2)),Schwierigkeitsstufen!$G$7:$G$19,0)),"Gerät falsch",LOOKUP(VALUE(MID(J361,1,2)),Schwierigkeitsstufen!$G$7:$G$19,Schwierigkeitsstufen!$H$7:$H$19)))</f>
        <v/>
      </c>
      <c r="AE361" s="211"/>
      <c r="AG361" s="221" t="str">
        <f t="shared" si="45"/>
        <v/>
      </c>
      <c r="AH361" s="222" t="str">
        <f t="shared" si="47"/>
        <v/>
      </c>
      <c r="AI361" s="220">
        <f t="shared" si="52"/>
        <v>4</v>
      </c>
      <c r="AJ361" s="222">
        <f t="shared" si="48"/>
        <v>0</v>
      </c>
      <c r="AK361" s="299" t="str">
        <f>IF(ISERROR(LOOKUP(E361,WKNrListe,Übersicht!$R$7:$R$46)),"-",LOOKUP(E361,WKNrListe,Übersicht!$R$7:$R$46))</f>
        <v>-</v>
      </c>
      <c r="AL361" s="299" t="str">
        <f t="shared" si="51"/>
        <v>-</v>
      </c>
      <c r="AM361" s="303"/>
      <c r="AN361" s="174" t="str">
        <f t="shared" si="44"/>
        <v>Leer</v>
      </c>
    </row>
    <row r="362" spans="1:40" s="174" customFormat="1" ht="15" customHeight="1">
      <c r="A362" s="63"/>
      <c r="B362" s="63"/>
      <c r="C362" s="84"/>
      <c r="D362" s="85"/>
      <c r="E362" s="62"/>
      <c r="F362" s="62"/>
      <c r="G362" s="62"/>
      <c r="H362" s="62"/>
      <c r="I362" s="62"/>
      <c r="J362" s="62"/>
      <c r="K362" s="62"/>
      <c r="L362" s="62"/>
      <c r="M362" s="62"/>
      <c r="N362" s="62"/>
      <c r="O362" s="62"/>
      <c r="P362" s="62"/>
      <c r="Q362" s="62"/>
      <c r="R362" s="62"/>
      <c r="S362" s="258"/>
      <c r="T362" s="248" t="str">
        <f t="shared" si="49"/>
        <v/>
      </c>
      <c r="U362" s="249" t="str">
        <f t="shared" si="50"/>
        <v/>
      </c>
      <c r="V362" s="294" t="str">
        <f t="shared" si="46"/>
        <v/>
      </c>
      <c r="W362" s="294" t="str">
        <f>IF(((E362="")+(F362="")),"",IF(VLOOKUP(F362,Mannschaften!$A$1:$B$54,2,FALSE)&lt;&gt;E362,"Reiter Mannschaften füllen",""))</f>
        <v/>
      </c>
      <c r="X362" s="248" t="str">
        <f>IF(ISBLANK(C362),"",IF((U362&gt;(LOOKUP(E362,WKNrListe,Übersicht!$O$7:$O$46)))+(U362&lt;(LOOKUP(E362,WKNrListe,Übersicht!$P$7:$P$46))),"JG falsch",""))</f>
        <v/>
      </c>
      <c r="Y362" s="255" t="str">
        <f>IF((A362="")*(B362=""),"",IF(ISERROR(MATCH(E362,WKNrListe,0)),"WK falsch",LOOKUP(E362,WKNrListe,Übersicht!$B$7:$B$46)))</f>
        <v/>
      </c>
      <c r="Z362" s="269" t="str">
        <f>IF(((AJ362=0)*(AH362&lt;&gt;"")*(AK362="-"))+((AJ362&lt;&gt;0)*(AH362&lt;&gt;"")*(AK362="-")),IF(AG362="X",Übersicht!$C$70,Übersicht!$C$69),"-")</f>
        <v>-</v>
      </c>
      <c r="AA362" s="252" t="str">
        <f>IF((($A362="")*($B362=""))+((MID($Y362,1,4)&lt;&gt;"Wahl")*(Deckblatt!$C$14='WK-Vorlagen'!$C$82))+(Deckblatt!$C$14&lt;&gt;'WK-Vorlagen'!$C$82),"",IF(ISERROR(MATCH(VALUE(MID(G362,1,2)),Schwierigkeitsstufen!$G$7:$G$19,0)),"Gerät falsch",LOOKUP(VALUE(MID(G362,1,2)),Schwierigkeitsstufen!$G$7:$G$19,Schwierigkeitsstufen!$H$7:$H$19)))</f>
        <v/>
      </c>
      <c r="AB362" s="250" t="str">
        <f>IF((($A362="")*($B362=""))+((MID($Y362,1,4)&lt;&gt;"Wahl")*(Deckblatt!$C$14='WK-Vorlagen'!$C$82))+(Deckblatt!$C$14&lt;&gt;'WK-Vorlagen'!$C$82),"",IF(ISERROR(MATCH(VALUE(MID(H362,1,2)),Schwierigkeitsstufen!$G$7:$G$19,0)),"Gerät falsch",LOOKUP(VALUE(MID(H362,1,2)),Schwierigkeitsstufen!$G$7:$G$19,Schwierigkeitsstufen!$H$7:$H$19)))</f>
        <v/>
      </c>
      <c r="AC362" s="250" t="str">
        <f>IF((($A362="")*($B362=""))+((MID($Y362,1,4)&lt;&gt;"Wahl")*(Deckblatt!$C$14='WK-Vorlagen'!$C$82))+(Deckblatt!$C$14&lt;&gt;'WK-Vorlagen'!$C$82),"",IF(ISERROR(MATCH(VALUE(MID(I362,1,2)),Schwierigkeitsstufen!$G$7:$G$19,0)),"Gerät falsch",LOOKUP(VALUE(MID(I362,1,2)),Schwierigkeitsstufen!$G$7:$G$19,Schwierigkeitsstufen!$H$7:$H$19)))</f>
        <v/>
      </c>
      <c r="AD362" s="251" t="str">
        <f>IF((($A362="")*($B362=""))+((MID($Y362,1,4)&lt;&gt;"Wahl")*(Deckblatt!$C$14='WK-Vorlagen'!$C$82))+(Deckblatt!$C$14&lt;&gt;'WK-Vorlagen'!$C$82),"",IF(ISERROR(MATCH(VALUE(MID(J362,1,2)),Schwierigkeitsstufen!$G$7:$G$19,0)),"Gerät falsch",LOOKUP(VALUE(MID(J362,1,2)),Schwierigkeitsstufen!$G$7:$G$19,Schwierigkeitsstufen!$H$7:$H$19)))</f>
        <v/>
      </c>
      <c r="AE362" s="211"/>
      <c r="AG362" s="221" t="str">
        <f t="shared" si="45"/>
        <v/>
      </c>
      <c r="AH362" s="222" t="str">
        <f t="shared" si="47"/>
        <v/>
      </c>
      <c r="AI362" s="220">
        <f t="shared" si="52"/>
        <v>4</v>
      </c>
      <c r="AJ362" s="222">
        <f t="shared" si="48"/>
        <v>0</v>
      </c>
      <c r="AK362" s="299" t="str">
        <f>IF(ISERROR(LOOKUP(E362,WKNrListe,Übersicht!$R$7:$R$46)),"-",LOOKUP(E362,WKNrListe,Übersicht!$R$7:$R$46))</f>
        <v>-</v>
      </c>
      <c r="AL362" s="299" t="str">
        <f t="shared" si="51"/>
        <v>-</v>
      </c>
      <c r="AM362" s="303"/>
      <c r="AN362" s="174" t="str">
        <f t="shared" si="44"/>
        <v>Leer</v>
      </c>
    </row>
    <row r="363" spans="1:40" s="174" customFormat="1" ht="15" customHeight="1">
      <c r="A363" s="63"/>
      <c r="B363" s="63"/>
      <c r="C363" s="84"/>
      <c r="D363" s="85"/>
      <c r="E363" s="62"/>
      <c r="F363" s="62"/>
      <c r="G363" s="62"/>
      <c r="H363" s="62"/>
      <c r="I363" s="62"/>
      <c r="J363" s="62"/>
      <c r="K363" s="62"/>
      <c r="L363" s="62"/>
      <c r="M363" s="62"/>
      <c r="N363" s="62"/>
      <c r="O363" s="62"/>
      <c r="P363" s="62"/>
      <c r="Q363" s="62"/>
      <c r="R363" s="62"/>
      <c r="S363" s="258"/>
      <c r="T363" s="248" t="str">
        <f t="shared" si="49"/>
        <v/>
      </c>
      <c r="U363" s="249" t="str">
        <f t="shared" si="50"/>
        <v/>
      </c>
      <c r="V363" s="294" t="str">
        <f t="shared" si="46"/>
        <v/>
      </c>
      <c r="W363" s="294" t="str">
        <f>IF(((E363="")+(F363="")),"",IF(VLOOKUP(F363,Mannschaften!$A$1:$B$54,2,FALSE)&lt;&gt;E363,"Reiter Mannschaften füllen",""))</f>
        <v/>
      </c>
      <c r="X363" s="248" t="str">
        <f>IF(ISBLANK(C363),"",IF((U363&gt;(LOOKUP(E363,WKNrListe,Übersicht!$O$7:$O$46)))+(U363&lt;(LOOKUP(E363,WKNrListe,Übersicht!$P$7:$P$46))),"JG falsch",""))</f>
        <v/>
      </c>
      <c r="Y363" s="255" t="str">
        <f>IF((A363="")*(B363=""),"",IF(ISERROR(MATCH(E363,WKNrListe,0)),"WK falsch",LOOKUP(E363,WKNrListe,Übersicht!$B$7:$B$46)))</f>
        <v/>
      </c>
      <c r="Z363" s="269" t="str">
        <f>IF(((AJ363=0)*(AH363&lt;&gt;"")*(AK363="-"))+((AJ363&lt;&gt;0)*(AH363&lt;&gt;"")*(AK363="-")),IF(AG363="X",Übersicht!$C$70,Übersicht!$C$69),"-")</f>
        <v>-</v>
      </c>
      <c r="AA363" s="252" t="str">
        <f>IF((($A363="")*($B363=""))+((MID($Y363,1,4)&lt;&gt;"Wahl")*(Deckblatt!$C$14='WK-Vorlagen'!$C$82))+(Deckblatt!$C$14&lt;&gt;'WK-Vorlagen'!$C$82),"",IF(ISERROR(MATCH(VALUE(MID(G363,1,2)),Schwierigkeitsstufen!$G$7:$G$19,0)),"Gerät falsch",LOOKUP(VALUE(MID(G363,1,2)),Schwierigkeitsstufen!$G$7:$G$19,Schwierigkeitsstufen!$H$7:$H$19)))</f>
        <v/>
      </c>
      <c r="AB363" s="250" t="str">
        <f>IF((($A363="")*($B363=""))+((MID($Y363,1,4)&lt;&gt;"Wahl")*(Deckblatt!$C$14='WK-Vorlagen'!$C$82))+(Deckblatt!$C$14&lt;&gt;'WK-Vorlagen'!$C$82),"",IF(ISERROR(MATCH(VALUE(MID(H363,1,2)),Schwierigkeitsstufen!$G$7:$G$19,0)),"Gerät falsch",LOOKUP(VALUE(MID(H363,1,2)),Schwierigkeitsstufen!$G$7:$G$19,Schwierigkeitsstufen!$H$7:$H$19)))</f>
        <v/>
      </c>
      <c r="AC363" s="250" t="str">
        <f>IF((($A363="")*($B363=""))+((MID($Y363,1,4)&lt;&gt;"Wahl")*(Deckblatt!$C$14='WK-Vorlagen'!$C$82))+(Deckblatt!$C$14&lt;&gt;'WK-Vorlagen'!$C$82),"",IF(ISERROR(MATCH(VALUE(MID(I363,1,2)),Schwierigkeitsstufen!$G$7:$G$19,0)),"Gerät falsch",LOOKUP(VALUE(MID(I363,1,2)),Schwierigkeitsstufen!$G$7:$G$19,Schwierigkeitsstufen!$H$7:$H$19)))</f>
        <v/>
      </c>
      <c r="AD363" s="251" t="str">
        <f>IF((($A363="")*($B363=""))+((MID($Y363,1,4)&lt;&gt;"Wahl")*(Deckblatt!$C$14='WK-Vorlagen'!$C$82))+(Deckblatt!$C$14&lt;&gt;'WK-Vorlagen'!$C$82),"",IF(ISERROR(MATCH(VALUE(MID(J363,1,2)),Schwierigkeitsstufen!$G$7:$G$19,0)),"Gerät falsch",LOOKUP(VALUE(MID(J363,1,2)),Schwierigkeitsstufen!$G$7:$G$19,Schwierigkeitsstufen!$H$7:$H$19)))</f>
        <v/>
      </c>
      <c r="AE363" s="211"/>
      <c r="AG363" s="221" t="str">
        <f t="shared" si="45"/>
        <v/>
      </c>
      <c r="AH363" s="222" t="str">
        <f t="shared" si="47"/>
        <v/>
      </c>
      <c r="AI363" s="220">
        <f t="shared" si="52"/>
        <v>4</v>
      </c>
      <c r="AJ363" s="222">
        <f t="shared" si="48"/>
        <v>0</v>
      </c>
      <c r="AK363" s="299" t="str">
        <f>IF(ISERROR(LOOKUP(E363,WKNrListe,Übersicht!$R$7:$R$46)),"-",LOOKUP(E363,WKNrListe,Übersicht!$R$7:$R$46))</f>
        <v>-</v>
      </c>
      <c r="AL363" s="299" t="str">
        <f t="shared" si="51"/>
        <v>-</v>
      </c>
      <c r="AM363" s="303"/>
      <c r="AN363" s="174" t="str">
        <f t="shared" si="44"/>
        <v>Leer</v>
      </c>
    </row>
    <row r="364" spans="1:40" s="174" customFormat="1" ht="15" customHeight="1">
      <c r="A364" s="63"/>
      <c r="B364" s="63"/>
      <c r="C364" s="84"/>
      <c r="D364" s="85"/>
      <c r="E364" s="62"/>
      <c r="F364" s="62"/>
      <c r="G364" s="62"/>
      <c r="H364" s="62"/>
      <c r="I364" s="62"/>
      <c r="J364" s="62"/>
      <c r="K364" s="62"/>
      <c r="L364" s="62"/>
      <c r="M364" s="62"/>
      <c r="N364" s="62"/>
      <c r="O364" s="62"/>
      <c r="P364" s="62"/>
      <c r="Q364" s="62"/>
      <c r="R364" s="62"/>
      <c r="S364" s="258"/>
      <c r="T364" s="248" t="str">
        <f t="shared" si="49"/>
        <v/>
      </c>
      <c r="U364" s="249" t="str">
        <f t="shared" si="50"/>
        <v/>
      </c>
      <c r="V364" s="294" t="str">
        <f t="shared" si="46"/>
        <v/>
      </c>
      <c r="W364" s="294" t="str">
        <f>IF(((E364="")+(F364="")),"",IF(VLOOKUP(F364,Mannschaften!$A$1:$B$54,2,FALSE)&lt;&gt;E364,"Reiter Mannschaften füllen",""))</f>
        <v/>
      </c>
      <c r="X364" s="248" t="str">
        <f>IF(ISBLANK(C364),"",IF((U364&gt;(LOOKUP(E364,WKNrListe,Übersicht!$O$7:$O$46)))+(U364&lt;(LOOKUP(E364,WKNrListe,Übersicht!$P$7:$P$46))),"JG falsch",""))</f>
        <v/>
      </c>
      <c r="Y364" s="255" t="str">
        <f>IF((A364="")*(B364=""),"",IF(ISERROR(MATCH(E364,WKNrListe,0)),"WK falsch",LOOKUP(E364,WKNrListe,Übersicht!$B$7:$B$46)))</f>
        <v/>
      </c>
      <c r="Z364" s="269" t="str">
        <f>IF(((AJ364=0)*(AH364&lt;&gt;"")*(AK364="-"))+((AJ364&lt;&gt;0)*(AH364&lt;&gt;"")*(AK364="-")),IF(AG364="X",Übersicht!$C$70,Übersicht!$C$69),"-")</f>
        <v>-</v>
      </c>
      <c r="AA364" s="252" t="str">
        <f>IF((($A364="")*($B364=""))+((MID($Y364,1,4)&lt;&gt;"Wahl")*(Deckblatt!$C$14='WK-Vorlagen'!$C$82))+(Deckblatt!$C$14&lt;&gt;'WK-Vorlagen'!$C$82),"",IF(ISERROR(MATCH(VALUE(MID(G364,1,2)),Schwierigkeitsstufen!$G$7:$G$19,0)),"Gerät falsch",LOOKUP(VALUE(MID(G364,1,2)),Schwierigkeitsstufen!$G$7:$G$19,Schwierigkeitsstufen!$H$7:$H$19)))</f>
        <v/>
      </c>
      <c r="AB364" s="250" t="str">
        <f>IF((($A364="")*($B364=""))+((MID($Y364,1,4)&lt;&gt;"Wahl")*(Deckblatt!$C$14='WK-Vorlagen'!$C$82))+(Deckblatt!$C$14&lt;&gt;'WK-Vorlagen'!$C$82),"",IF(ISERROR(MATCH(VALUE(MID(H364,1,2)),Schwierigkeitsstufen!$G$7:$G$19,0)),"Gerät falsch",LOOKUP(VALUE(MID(H364,1,2)),Schwierigkeitsstufen!$G$7:$G$19,Schwierigkeitsstufen!$H$7:$H$19)))</f>
        <v/>
      </c>
      <c r="AC364" s="250" t="str">
        <f>IF((($A364="")*($B364=""))+((MID($Y364,1,4)&lt;&gt;"Wahl")*(Deckblatt!$C$14='WK-Vorlagen'!$C$82))+(Deckblatt!$C$14&lt;&gt;'WK-Vorlagen'!$C$82),"",IF(ISERROR(MATCH(VALUE(MID(I364,1,2)),Schwierigkeitsstufen!$G$7:$G$19,0)),"Gerät falsch",LOOKUP(VALUE(MID(I364,1,2)),Schwierigkeitsstufen!$G$7:$G$19,Schwierigkeitsstufen!$H$7:$H$19)))</f>
        <v/>
      </c>
      <c r="AD364" s="251" t="str">
        <f>IF((($A364="")*($B364=""))+((MID($Y364,1,4)&lt;&gt;"Wahl")*(Deckblatt!$C$14='WK-Vorlagen'!$C$82))+(Deckblatt!$C$14&lt;&gt;'WK-Vorlagen'!$C$82),"",IF(ISERROR(MATCH(VALUE(MID(J364,1,2)),Schwierigkeitsstufen!$G$7:$G$19,0)),"Gerät falsch",LOOKUP(VALUE(MID(J364,1,2)),Schwierigkeitsstufen!$G$7:$G$19,Schwierigkeitsstufen!$H$7:$H$19)))</f>
        <v/>
      </c>
      <c r="AE364" s="211"/>
      <c r="AG364" s="221" t="str">
        <f t="shared" si="45"/>
        <v/>
      </c>
      <c r="AH364" s="222" t="str">
        <f t="shared" si="47"/>
        <v/>
      </c>
      <c r="AI364" s="220">
        <f t="shared" si="52"/>
        <v>4</v>
      </c>
      <c r="AJ364" s="222">
        <f t="shared" si="48"/>
        <v>0</v>
      </c>
      <c r="AK364" s="299" t="str">
        <f>IF(ISERROR(LOOKUP(E364,WKNrListe,Übersicht!$R$7:$R$46)),"-",LOOKUP(E364,WKNrListe,Übersicht!$R$7:$R$46))</f>
        <v>-</v>
      </c>
      <c r="AL364" s="299" t="str">
        <f t="shared" si="51"/>
        <v>-</v>
      </c>
      <c r="AM364" s="303"/>
      <c r="AN364" s="174" t="str">
        <f t="shared" si="44"/>
        <v>Leer</v>
      </c>
    </row>
    <row r="365" spans="1:40" s="174" customFormat="1" ht="15" customHeight="1">
      <c r="A365" s="63"/>
      <c r="B365" s="63"/>
      <c r="C365" s="84"/>
      <c r="D365" s="85"/>
      <c r="E365" s="62"/>
      <c r="F365" s="62"/>
      <c r="G365" s="62"/>
      <c r="H365" s="62"/>
      <c r="I365" s="62"/>
      <c r="J365" s="62"/>
      <c r="K365" s="62"/>
      <c r="L365" s="62"/>
      <c r="M365" s="62"/>
      <c r="N365" s="62"/>
      <c r="O365" s="62"/>
      <c r="P365" s="62"/>
      <c r="Q365" s="62"/>
      <c r="R365" s="62"/>
      <c r="S365" s="258"/>
      <c r="T365" s="248" t="str">
        <f t="shared" si="49"/>
        <v/>
      </c>
      <c r="U365" s="249" t="str">
        <f t="shared" si="50"/>
        <v/>
      </c>
      <c r="V365" s="294" t="str">
        <f t="shared" si="46"/>
        <v/>
      </c>
      <c r="W365" s="294" t="str">
        <f>IF(((E365="")+(F365="")),"",IF(VLOOKUP(F365,Mannschaften!$A$1:$B$54,2,FALSE)&lt;&gt;E365,"Reiter Mannschaften füllen",""))</f>
        <v/>
      </c>
      <c r="X365" s="248" t="str">
        <f>IF(ISBLANK(C365),"",IF((U365&gt;(LOOKUP(E365,WKNrListe,Übersicht!$O$7:$O$46)))+(U365&lt;(LOOKUP(E365,WKNrListe,Übersicht!$P$7:$P$46))),"JG falsch",""))</f>
        <v/>
      </c>
      <c r="Y365" s="255" t="str">
        <f>IF((A365="")*(B365=""),"",IF(ISERROR(MATCH(E365,WKNrListe,0)),"WK falsch",LOOKUP(E365,WKNrListe,Übersicht!$B$7:$B$46)))</f>
        <v/>
      </c>
      <c r="Z365" s="269" t="str">
        <f>IF(((AJ365=0)*(AH365&lt;&gt;"")*(AK365="-"))+((AJ365&lt;&gt;0)*(AH365&lt;&gt;"")*(AK365="-")),IF(AG365="X",Übersicht!$C$70,Übersicht!$C$69),"-")</f>
        <v>-</v>
      </c>
      <c r="AA365" s="252" t="str">
        <f>IF((($A365="")*($B365=""))+((MID($Y365,1,4)&lt;&gt;"Wahl")*(Deckblatt!$C$14='WK-Vorlagen'!$C$82))+(Deckblatt!$C$14&lt;&gt;'WK-Vorlagen'!$C$82),"",IF(ISERROR(MATCH(VALUE(MID(G365,1,2)),Schwierigkeitsstufen!$G$7:$G$19,0)),"Gerät falsch",LOOKUP(VALUE(MID(G365,1,2)),Schwierigkeitsstufen!$G$7:$G$19,Schwierigkeitsstufen!$H$7:$H$19)))</f>
        <v/>
      </c>
      <c r="AB365" s="250" t="str">
        <f>IF((($A365="")*($B365=""))+((MID($Y365,1,4)&lt;&gt;"Wahl")*(Deckblatt!$C$14='WK-Vorlagen'!$C$82))+(Deckblatt!$C$14&lt;&gt;'WK-Vorlagen'!$C$82),"",IF(ISERROR(MATCH(VALUE(MID(H365,1,2)),Schwierigkeitsstufen!$G$7:$G$19,0)),"Gerät falsch",LOOKUP(VALUE(MID(H365,1,2)),Schwierigkeitsstufen!$G$7:$G$19,Schwierigkeitsstufen!$H$7:$H$19)))</f>
        <v/>
      </c>
      <c r="AC365" s="250" t="str">
        <f>IF((($A365="")*($B365=""))+((MID($Y365,1,4)&lt;&gt;"Wahl")*(Deckblatt!$C$14='WK-Vorlagen'!$C$82))+(Deckblatt!$C$14&lt;&gt;'WK-Vorlagen'!$C$82),"",IF(ISERROR(MATCH(VALUE(MID(I365,1,2)),Schwierigkeitsstufen!$G$7:$G$19,0)),"Gerät falsch",LOOKUP(VALUE(MID(I365,1,2)),Schwierigkeitsstufen!$G$7:$G$19,Schwierigkeitsstufen!$H$7:$H$19)))</f>
        <v/>
      </c>
      <c r="AD365" s="251" t="str">
        <f>IF((($A365="")*($B365=""))+((MID($Y365,1,4)&lt;&gt;"Wahl")*(Deckblatt!$C$14='WK-Vorlagen'!$C$82))+(Deckblatt!$C$14&lt;&gt;'WK-Vorlagen'!$C$82),"",IF(ISERROR(MATCH(VALUE(MID(J365,1,2)),Schwierigkeitsstufen!$G$7:$G$19,0)),"Gerät falsch",LOOKUP(VALUE(MID(J365,1,2)),Schwierigkeitsstufen!$G$7:$G$19,Schwierigkeitsstufen!$H$7:$H$19)))</f>
        <v/>
      </c>
      <c r="AE365" s="211"/>
      <c r="AG365" s="221" t="str">
        <f t="shared" si="45"/>
        <v/>
      </c>
      <c r="AH365" s="222" t="str">
        <f t="shared" si="47"/>
        <v/>
      </c>
      <c r="AI365" s="220">
        <f t="shared" si="52"/>
        <v>4</v>
      </c>
      <c r="AJ365" s="222">
        <f t="shared" si="48"/>
        <v>0</v>
      </c>
      <c r="AK365" s="299" t="str">
        <f>IF(ISERROR(LOOKUP(E365,WKNrListe,Übersicht!$R$7:$R$46)),"-",LOOKUP(E365,WKNrListe,Übersicht!$R$7:$R$46))</f>
        <v>-</v>
      </c>
      <c r="AL365" s="299" t="str">
        <f t="shared" si="51"/>
        <v>-</v>
      </c>
      <c r="AM365" s="303"/>
      <c r="AN365" s="174" t="str">
        <f t="shared" si="44"/>
        <v>Leer</v>
      </c>
    </row>
    <row r="366" spans="1:40" s="174" customFormat="1" ht="15" customHeight="1">
      <c r="A366" s="63"/>
      <c r="B366" s="63"/>
      <c r="C366" s="84"/>
      <c r="D366" s="85"/>
      <c r="E366" s="62"/>
      <c r="F366" s="62"/>
      <c r="G366" s="62"/>
      <c r="H366" s="62"/>
      <c r="I366" s="62"/>
      <c r="J366" s="62"/>
      <c r="K366" s="62"/>
      <c r="L366" s="62"/>
      <c r="M366" s="62"/>
      <c r="N366" s="62"/>
      <c r="O366" s="62"/>
      <c r="P366" s="62"/>
      <c r="Q366" s="62"/>
      <c r="R366" s="62"/>
      <c r="S366" s="258"/>
      <c r="T366" s="248" t="str">
        <f t="shared" si="49"/>
        <v/>
      </c>
      <c r="U366" s="249" t="str">
        <f t="shared" si="50"/>
        <v/>
      </c>
      <c r="V366" s="294" t="str">
        <f t="shared" si="46"/>
        <v/>
      </c>
      <c r="W366" s="294" t="str">
        <f>IF(((E366="")+(F366="")),"",IF(VLOOKUP(F366,Mannschaften!$A$1:$B$54,2,FALSE)&lt;&gt;E366,"Reiter Mannschaften füllen",""))</f>
        <v/>
      </c>
      <c r="X366" s="248" t="str">
        <f>IF(ISBLANK(C366),"",IF((U366&gt;(LOOKUP(E366,WKNrListe,Übersicht!$O$7:$O$46)))+(U366&lt;(LOOKUP(E366,WKNrListe,Übersicht!$P$7:$P$46))),"JG falsch",""))</f>
        <v/>
      </c>
      <c r="Y366" s="255" t="str">
        <f>IF((A366="")*(B366=""),"",IF(ISERROR(MATCH(E366,WKNrListe,0)),"WK falsch",LOOKUP(E366,WKNrListe,Übersicht!$B$7:$B$46)))</f>
        <v/>
      </c>
      <c r="Z366" s="269" t="str">
        <f>IF(((AJ366=0)*(AH366&lt;&gt;"")*(AK366="-"))+((AJ366&lt;&gt;0)*(AH366&lt;&gt;"")*(AK366="-")),IF(AG366="X",Übersicht!$C$70,Übersicht!$C$69),"-")</f>
        <v>-</v>
      </c>
      <c r="AA366" s="252" t="str">
        <f>IF((($A366="")*($B366=""))+((MID($Y366,1,4)&lt;&gt;"Wahl")*(Deckblatt!$C$14='WK-Vorlagen'!$C$82))+(Deckblatt!$C$14&lt;&gt;'WK-Vorlagen'!$C$82),"",IF(ISERROR(MATCH(VALUE(MID(G366,1,2)),Schwierigkeitsstufen!$G$7:$G$19,0)),"Gerät falsch",LOOKUP(VALUE(MID(G366,1,2)),Schwierigkeitsstufen!$G$7:$G$19,Schwierigkeitsstufen!$H$7:$H$19)))</f>
        <v/>
      </c>
      <c r="AB366" s="250" t="str">
        <f>IF((($A366="")*($B366=""))+((MID($Y366,1,4)&lt;&gt;"Wahl")*(Deckblatt!$C$14='WK-Vorlagen'!$C$82))+(Deckblatt!$C$14&lt;&gt;'WK-Vorlagen'!$C$82),"",IF(ISERROR(MATCH(VALUE(MID(H366,1,2)),Schwierigkeitsstufen!$G$7:$G$19,0)),"Gerät falsch",LOOKUP(VALUE(MID(H366,1,2)),Schwierigkeitsstufen!$G$7:$G$19,Schwierigkeitsstufen!$H$7:$H$19)))</f>
        <v/>
      </c>
      <c r="AC366" s="250" t="str">
        <f>IF((($A366="")*($B366=""))+((MID($Y366,1,4)&lt;&gt;"Wahl")*(Deckblatt!$C$14='WK-Vorlagen'!$C$82))+(Deckblatt!$C$14&lt;&gt;'WK-Vorlagen'!$C$82),"",IF(ISERROR(MATCH(VALUE(MID(I366,1,2)),Schwierigkeitsstufen!$G$7:$G$19,0)),"Gerät falsch",LOOKUP(VALUE(MID(I366,1,2)),Schwierigkeitsstufen!$G$7:$G$19,Schwierigkeitsstufen!$H$7:$H$19)))</f>
        <v/>
      </c>
      <c r="AD366" s="251" t="str">
        <f>IF((($A366="")*($B366=""))+((MID($Y366,1,4)&lt;&gt;"Wahl")*(Deckblatt!$C$14='WK-Vorlagen'!$C$82))+(Deckblatt!$C$14&lt;&gt;'WK-Vorlagen'!$C$82),"",IF(ISERROR(MATCH(VALUE(MID(J366,1,2)),Schwierigkeitsstufen!$G$7:$G$19,0)),"Gerät falsch",LOOKUP(VALUE(MID(J366,1,2)),Schwierigkeitsstufen!$G$7:$G$19,Schwierigkeitsstufen!$H$7:$H$19)))</f>
        <v/>
      </c>
      <c r="AE366" s="211"/>
      <c r="AG366" s="221" t="str">
        <f t="shared" si="45"/>
        <v/>
      </c>
      <c r="AH366" s="222" t="str">
        <f t="shared" si="47"/>
        <v/>
      </c>
      <c r="AI366" s="220">
        <f t="shared" si="52"/>
        <v>4</v>
      </c>
      <c r="AJ366" s="222">
        <f t="shared" si="48"/>
        <v>0</v>
      </c>
      <c r="AK366" s="299" t="str">
        <f>IF(ISERROR(LOOKUP(E366,WKNrListe,Übersicht!$R$7:$R$46)),"-",LOOKUP(E366,WKNrListe,Übersicht!$R$7:$R$46))</f>
        <v>-</v>
      </c>
      <c r="AL366" s="299" t="str">
        <f t="shared" si="51"/>
        <v>-</v>
      </c>
      <c r="AM366" s="303"/>
      <c r="AN366" s="174" t="str">
        <f t="shared" si="44"/>
        <v>Leer</v>
      </c>
    </row>
    <row r="367" spans="1:40" s="174" customFormat="1" ht="15" customHeight="1">
      <c r="A367" s="63"/>
      <c r="B367" s="63"/>
      <c r="C367" s="84"/>
      <c r="D367" s="85"/>
      <c r="E367" s="62"/>
      <c r="F367" s="62"/>
      <c r="G367" s="62"/>
      <c r="H367" s="62"/>
      <c r="I367" s="62"/>
      <c r="J367" s="62"/>
      <c r="K367" s="62"/>
      <c r="L367" s="62"/>
      <c r="M367" s="62"/>
      <c r="N367" s="62"/>
      <c r="O367" s="62"/>
      <c r="P367" s="62"/>
      <c r="Q367" s="62"/>
      <c r="R367" s="62"/>
      <c r="S367" s="258"/>
      <c r="T367" s="248" t="str">
        <f t="shared" si="49"/>
        <v/>
      </c>
      <c r="U367" s="249" t="str">
        <f t="shared" si="50"/>
        <v/>
      </c>
      <c r="V367" s="294" t="str">
        <f t="shared" si="46"/>
        <v/>
      </c>
      <c r="W367" s="294" t="str">
        <f>IF(((E367="")+(F367="")),"",IF(VLOOKUP(F367,Mannschaften!$A$1:$B$54,2,FALSE)&lt;&gt;E367,"Reiter Mannschaften füllen",""))</f>
        <v/>
      </c>
      <c r="X367" s="248" t="str">
        <f>IF(ISBLANK(C367),"",IF((U367&gt;(LOOKUP(E367,WKNrListe,Übersicht!$O$7:$O$46)))+(U367&lt;(LOOKUP(E367,WKNrListe,Übersicht!$P$7:$P$46))),"JG falsch",""))</f>
        <v/>
      </c>
      <c r="Y367" s="255" t="str">
        <f>IF((A367="")*(B367=""),"",IF(ISERROR(MATCH(E367,WKNrListe,0)),"WK falsch",LOOKUP(E367,WKNrListe,Übersicht!$B$7:$B$46)))</f>
        <v/>
      </c>
      <c r="Z367" s="269" t="str">
        <f>IF(((AJ367=0)*(AH367&lt;&gt;"")*(AK367="-"))+((AJ367&lt;&gt;0)*(AH367&lt;&gt;"")*(AK367="-")),IF(AG367="X",Übersicht!$C$70,Übersicht!$C$69),"-")</f>
        <v>-</v>
      </c>
      <c r="AA367" s="252" t="str">
        <f>IF((($A367="")*($B367=""))+((MID($Y367,1,4)&lt;&gt;"Wahl")*(Deckblatt!$C$14='WK-Vorlagen'!$C$82))+(Deckblatt!$C$14&lt;&gt;'WK-Vorlagen'!$C$82),"",IF(ISERROR(MATCH(VALUE(MID(G367,1,2)),Schwierigkeitsstufen!$G$7:$G$19,0)),"Gerät falsch",LOOKUP(VALUE(MID(G367,1,2)),Schwierigkeitsstufen!$G$7:$G$19,Schwierigkeitsstufen!$H$7:$H$19)))</f>
        <v/>
      </c>
      <c r="AB367" s="250" t="str">
        <f>IF((($A367="")*($B367=""))+((MID($Y367,1,4)&lt;&gt;"Wahl")*(Deckblatt!$C$14='WK-Vorlagen'!$C$82))+(Deckblatt!$C$14&lt;&gt;'WK-Vorlagen'!$C$82),"",IF(ISERROR(MATCH(VALUE(MID(H367,1,2)),Schwierigkeitsstufen!$G$7:$G$19,0)),"Gerät falsch",LOOKUP(VALUE(MID(H367,1,2)),Schwierigkeitsstufen!$G$7:$G$19,Schwierigkeitsstufen!$H$7:$H$19)))</f>
        <v/>
      </c>
      <c r="AC367" s="250" t="str">
        <f>IF((($A367="")*($B367=""))+((MID($Y367,1,4)&lt;&gt;"Wahl")*(Deckblatt!$C$14='WK-Vorlagen'!$C$82))+(Deckblatt!$C$14&lt;&gt;'WK-Vorlagen'!$C$82),"",IF(ISERROR(MATCH(VALUE(MID(I367,1,2)),Schwierigkeitsstufen!$G$7:$G$19,0)),"Gerät falsch",LOOKUP(VALUE(MID(I367,1,2)),Schwierigkeitsstufen!$G$7:$G$19,Schwierigkeitsstufen!$H$7:$H$19)))</f>
        <v/>
      </c>
      <c r="AD367" s="251" t="str">
        <f>IF((($A367="")*($B367=""))+((MID($Y367,1,4)&lt;&gt;"Wahl")*(Deckblatt!$C$14='WK-Vorlagen'!$C$82))+(Deckblatt!$C$14&lt;&gt;'WK-Vorlagen'!$C$82),"",IF(ISERROR(MATCH(VALUE(MID(J367,1,2)),Schwierigkeitsstufen!$G$7:$G$19,0)),"Gerät falsch",LOOKUP(VALUE(MID(J367,1,2)),Schwierigkeitsstufen!$G$7:$G$19,Schwierigkeitsstufen!$H$7:$H$19)))</f>
        <v/>
      </c>
      <c r="AE367" s="211"/>
      <c r="AG367" s="221" t="str">
        <f t="shared" si="45"/>
        <v/>
      </c>
      <c r="AH367" s="222" t="str">
        <f t="shared" si="47"/>
        <v/>
      </c>
      <c r="AI367" s="220">
        <f t="shared" si="52"/>
        <v>4</v>
      </c>
      <c r="AJ367" s="222">
        <f t="shared" si="48"/>
        <v>0</v>
      </c>
      <c r="AK367" s="299" t="str">
        <f>IF(ISERROR(LOOKUP(E367,WKNrListe,Übersicht!$R$7:$R$46)),"-",LOOKUP(E367,WKNrListe,Übersicht!$R$7:$R$46))</f>
        <v>-</v>
      </c>
      <c r="AL367" s="299" t="str">
        <f t="shared" si="51"/>
        <v>-</v>
      </c>
      <c r="AM367" s="303"/>
      <c r="AN367" s="174" t="str">
        <f t="shared" ref="AN367:AN430" si="53">IF(ISBLANK(A367)*ISBLANK(B367)*ISBLANK(C367)*ISBLANK(E367)*ISBLANK(F367)*ISBLANK(G367)*ISBLANK(H367)*ISBLANK(I367)*ISBLANK(J367),"Leer","Voll")</f>
        <v>Leer</v>
      </c>
    </row>
    <row r="368" spans="1:40" s="174" customFormat="1" ht="15" customHeight="1">
      <c r="A368" s="63"/>
      <c r="B368" s="63"/>
      <c r="C368" s="84"/>
      <c r="D368" s="85"/>
      <c r="E368" s="62"/>
      <c r="F368" s="62"/>
      <c r="G368" s="62"/>
      <c r="H368" s="62"/>
      <c r="I368" s="62"/>
      <c r="J368" s="62"/>
      <c r="K368" s="62"/>
      <c r="L368" s="62"/>
      <c r="M368" s="62"/>
      <c r="N368" s="62"/>
      <c r="O368" s="62"/>
      <c r="P368" s="62"/>
      <c r="Q368" s="62"/>
      <c r="R368" s="62"/>
      <c r="S368" s="258"/>
      <c r="T368" s="248" t="str">
        <f t="shared" si="49"/>
        <v/>
      </c>
      <c r="U368" s="249" t="str">
        <f t="shared" si="50"/>
        <v/>
      </c>
      <c r="V368" s="294" t="str">
        <f t="shared" si="46"/>
        <v/>
      </c>
      <c r="W368" s="294" t="str">
        <f>IF(((E368="")+(F368="")),"",IF(VLOOKUP(F368,Mannschaften!$A$1:$B$54,2,FALSE)&lt;&gt;E368,"Reiter Mannschaften füllen",""))</f>
        <v/>
      </c>
      <c r="X368" s="248" t="str">
        <f>IF(ISBLANK(C368),"",IF((U368&gt;(LOOKUP(E368,WKNrListe,Übersicht!$O$7:$O$46)))+(U368&lt;(LOOKUP(E368,WKNrListe,Übersicht!$P$7:$P$46))),"JG falsch",""))</f>
        <v/>
      </c>
      <c r="Y368" s="255" t="str">
        <f>IF((A368="")*(B368=""),"",IF(ISERROR(MATCH(E368,WKNrListe,0)),"WK falsch",LOOKUP(E368,WKNrListe,Übersicht!$B$7:$B$46)))</f>
        <v/>
      </c>
      <c r="Z368" s="269" t="str">
        <f>IF(((AJ368=0)*(AH368&lt;&gt;"")*(AK368="-"))+((AJ368&lt;&gt;0)*(AH368&lt;&gt;"")*(AK368="-")),IF(AG368="X",Übersicht!$C$70,Übersicht!$C$69),"-")</f>
        <v>-</v>
      </c>
      <c r="AA368" s="252" t="str">
        <f>IF((($A368="")*($B368=""))+((MID($Y368,1,4)&lt;&gt;"Wahl")*(Deckblatt!$C$14='WK-Vorlagen'!$C$82))+(Deckblatt!$C$14&lt;&gt;'WK-Vorlagen'!$C$82),"",IF(ISERROR(MATCH(VALUE(MID(G368,1,2)),Schwierigkeitsstufen!$G$7:$G$19,0)),"Gerät falsch",LOOKUP(VALUE(MID(G368,1,2)),Schwierigkeitsstufen!$G$7:$G$19,Schwierigkeitsstufen!$H$7:$H$19)))</f>
        <v/>
      </c>
      <c r="AB368" s="250" t="str">
        <f>IF((($A368="")*($B368=""))+((MID($Y368,1,4)&lt;&gt;"Wahl")*(Deckblatt!$C$14='WK-Vorlagen'!$C$82))+(Deckblatt!$C$14&lt;&gt;'WK-Vorlagen'!$C$82),"",IF(ISERROR(MATCH(VALUE(MID(H368,1,2)),Schwierigkeitsstufen!$G$7:$G$19,0)),"Gerät falsch",LOOKUP(VALUE(MID(H368,1,2)),Schwierigkeitsstufen!$G$7:$G$19,Schwierigkeitsstufen!$H$7:$H$19)))</f>
        <v/>
      </c>
      <c r="AC368" s="250" t="str">
        <f>IF((($A368="")*($B368=""))+((MID($Y368,1,4)&lt;&gt;"Wahl")*(Deckblatt!$C$14='WK-Vorlagen'!$C$82))+(Deckblatt!$C$14&lt;&gt;'WK-Vorlagen'!$C$82),"",IF(ISERROR(MATCH(VALUE(MID(I368,1,2)),Schwierigkeitsstufen!$G$7:$G$19,0)),"Gerät falsch",LOOKUP(VALUE(MID(I368,1,2)),Schwierigkeitsstufen!$G$7:$G$19,Schwierigkeitsstufen!$H$7:$H$19)))</f>
        <v/>
      </c>
      <c r="AD368" s="251" t="str">
        <f>IF((($A368="")*($B368=""))+((MID($Y368,1,4)&lt;&gt;"Wahl")*(Deckblatt!$C$14='WK-Vorlagen'!$C$82))+(Deckblatt!$C$14&lt;&gt;'WK-Vorlagen'!$C$82),"",IF(ISERROR(MATCH(VALUE(MID(J368,1,2)),Schwierigkeitsstufen!$G$7:$G$19,0)),"Gerät falsch",LOOKUP(VALUE(MID(J368,1,2)),Schwierigkeitsstufen!$G$7:$G$19,Schwierigkeitsstufen!$H$7:$H$19)))</f>
        <v/>
      </c>
      <c r="AE368" s="211"/>
      <c r="AG368" s="221" t="str">
        <f t="shared" si="45"/>
        <v/>
      </c>
      <c r="AH368" s="222" t="str">
        <f t="shared" si="47"/>
        <v/>
      </c>
      <c r="AI368" s="220">
        <f t="shared" si="52"/>
        <v>4</v>
      </c>
      <c r="AJ368" s="222">
        <f t="shared" si="48"/>
        <v>0</v>
      </c>
      <c r="AK368" s="299" t="str">
        <f>IF(ISERROR(LOOKUP(E368,WKNrListe,Übersicht!$R$7:$R$46)),"-",LOOKUP(E368,WKNrListe,Übersicht!$R$7:$R$46))</f>
        <v>-</v>
      </c>
      <c r="AL368" s="299" t="str">
        <f t="shared" si="51"/>
        <v>-</v>
      </c>
      <c r="AM368" s="303"/>
      <c r="AN368" s="174" t="str">
        <f t="shared" si="53"/>
        <v>Leer</v>
      </c>
    </row>
    <row r="369" spans="1:40" s="174" customFormat="1" ht="15" customHeight="1">
      <c r="A369" s="63"/>
      <c r="B369" s="63"/>
      <c r="C369" s="84"/>
      <c r="D369" s="85"/>
      <c r="E369" s="62"/>
      <c r="F369" s="62"/>
      <c r="G369" s="62"/>
      <c r="H369" s="62"/>
      <c r="I369" s="62"/>
      <c r="J369" s="62"/>
      <c r="K369" s="62"/>
      <c r="L369" s="62"/>
      <c r="M369" s="62"/>
      <c r="N369" s="62"/>
      <c r="O369" s="62"/>
      <c r="P369" s="62"/>
      <c r="Q369" s="62"/>
      <c r="R369" s="62"/>
      <c r="S369" s="258"/>
      <c r="T369" s="248" t="str">
        <f t="shared" si="49"/>
        <v/>
      </c>
      <c r="U369" s="249" t="str">
        <f t="shared" si="50"/>
        <v/>
      </c>
      <c r="V369" s="294" t="str">
        <f t="shared" si="46"/>
        <v/>
      </c>
      <c r="W369" s="294" t="str">
        <f>IF(((E369="")+(F369="")),"",IF(VLOOKUP(F369,Mannschaften!$A$1:$B$54,2,FALSE)&lt;&gt;E369,"Reiter Mannschaften füllen",""))</f>
        <v/>
      </c>
      <c r="X369" s="248" t="str">
        <f>IF(ISBLANK(C369),"",IF((U369&gt;(LOOKUP(E369,WKNrListe,Übersicht!$O$7:$O$46)))+(U369&lt;(LOOKUP(E369,WKNrListe,Übersicht!$P$7:$P$46))),"JG falsch",""))</f>
        <v/>
      </c>
      <c r="Y369" s="255" t="str">
        <f>IF((A369="")*(B369=""),"",IF(ISERROR(MATCH(E369,WKNrListe,0)),"WK falsch",LOOKUP(E369,WKNrListe,Übersicht!$B$7:$B$46)))</f>
        <v/>
      </c>
      <c r="Z369" s="269" t="str">
        <f>IF(((AJ369=0)*(AH369&lt;&gt;"")*(AK369="-"))+((AJ369&lt;&gt;0)*(AH369&lt;&gt;"")*(AK369="-")),IF(AG369="X",Übersicht!$C$70,Übersicht!$C$69),"-")</f>
        <v>-</v>
      </c>
      <c r="AA369" s="252" t="str">
        <f>IF((($A369="")*($B369=""))+((MID($Y369,1,4)&lt;&gt;"Wahl")*(Deckblatt!$C$14='WK-Vorlagen'!$C$82))+(Deckblatt!$C$14&lt;&gt;'WK-Vorlagen'!$C$82),"",IF(ISERROR(MATCH(VALUE(MID(G369,1,2)),Schwierigkeitsstufen!$G$7:$G$19,0)),"Gerät falsch",LOOKUP(VALUE(MID(G369,1,2)),Schwierigkeitsstufen!$G$7:$G$19,Schwierigkeitsstufen!$H$7:$H$19)))</f>
        <v/>
      </c>
      <c r="AB369" s="250" t="str">
        <f>IF((($A369="")*($B369=""))+((MID($Y369,1,4)&lt;&gt;"Wahl")*(Deckblatt!$C$14='WK-Vorlagen'!$C$82))+(Deckblatt!$C$14&lt;&gt;'WK-Vorlagen'!$C$82),"",IF(ISERROR(MATCH(VALUE(MID(H369,1,2)),Schwierigkeitsstufen!$G$7:$G$19,0)),"Gerät falsch",LOOKUP(VALUE(MID(H369,1,2)),Schwierigkeitsstufen!$G$7:$G$19,Schwierigkeitsstufen!$H$7:$H$19)))</f>
        <v/>
      </c>
      <c r="AC369" s="250" t="str">
        <f>IF((($A369="")*($B369=""))+((MID($Y369,1,4)&lt;&gt;"Wahl")*(Deckblatt!$C$14='WK-Vorlagen'!$C$82))+(Deckblatt!$C$14&lt;&gt;'WK-Vorlagen'!$C$82),"",IF(ISERROR(MATCH(VALUE(MID(I369,1,2)),Schwierigkeitsstufen!$G$7:$G$19,0)),"Gerät falsch",LOOKUP(VALUE(MID(I369,1,2)),Schwierigkeitsstufen!$G$7:$G$19,Schwierigkeitsstufen!$H$7:$H$19)))</f>
        <v/>
      </c>
      <c r="AD369" s="251" t="str">
        <f>IF((($A369="")*($B369=""))+((MID($Y369,1,4)&lt;&gt;"Wahl")*(Deckblatt!$C$14='WK-Vorlagen'!$C$82))+(Deckblatt!$C$14&lt;&gt;'WK-Vorlagen'!$C$82),"",IF(ISERROR(MATCH(VALUE(MID(J369,1,2)),Schwierigkeitsstufen!$G$7:$G$19,0)),"Gerät falsch",LOOKUP(VALUE(MID(J369,1,2)),Schwierigkeitsstufen!$G$7:$G$19,Schwierigkeitsstufen!$H$7:$H$19)))</f>
        <v/>
      </c>
      <c r="AE369" s="211"/>
      <c r="AG369" s="221" t="str">
        <f t="shared" si="45"/>
        <v/>
      </c>
      <c r="AH369" s="222" t="str">
        <f t="shared" si="47"/>
        <v/>
      </c>
      <c r="AI369" s="220">
        <f t="shared" si="52"/>
        <v>4</v>
      </c>
      <c r="AJ369" s="222">
        <f t="shared" si="48"/>
        <v>0</v>
      </c>
      <c r="AK369" s="299" t="str">
        <f>IF(ISERROR(LOOKUP(E369,WKNrListe,Übersicht!$R$7:$R$46)),"-",LOOKUP(E369,WKNrListe,Übersicht!$R$7:$R$46))</f>
        <v>-</v>
      </c>
      <c r="AL369" s="299" t="str">
        <f t="shared" si="51"/>
        <v>-</v>
      </c>
      <c r="AM369" s="303"/>
      <c r="AN369" s="174" t="str">
        <f t="shared" si="53"/>
        <v>Leer</v>
      </c>
    </row>
    <row r="370" spans="1:40" s="174" customFormat="1" ht="15" customHeight="1">
      <c r="A370" s="63"/>
      <c r="B370" s="63"/>
      <c r="C370" s="84"/>
      <c r="D370" s="85"/>
      <c r="E370" s="62"/>
      <c r="F370" s="62"/>
      <c r="G370" s="62"/>
      <c r="H370" s="62"/>
      <c r="I370" s="62"/>
      <c r="J370" s="62"/>
      <c r="K370" s="62"/>
      <c r="L370" s="62"/>
      <c r="M370" s="62"/>
      <c r="N370" s="62"/>
      <c r="O370" s="62"/>
      <c r="P370" s="62"/>
      <c r="Q370" s="62"/>
      <c r="R370" s="62"/>
      <c r="S370" s="258"/>
      <c r="T370" s="248" t="str">
        <f t="shared" si="49"/>
        <v/>
      </c>
      <c r="U370" s="249" t="str">
        <f t="shared" si="50"/>
        <v/>
      </c>
      <c r="V370" s="294" t="str">
        <f t="shared" si="46"/>
        <v/>
      </c>
      <c r="W370" s="294" t="str">
        <f>IF(((E370="")+(F370="")),"",IF(VLOOKUP(F370,Mannschaften!$A$1:$B$54,2,FALSE)&lt;&gt;E370,"Reiter Mannschaften füllen",""))</f>
        <v/>
      </c>
      <c r="X370" s="248" t="str">
        <f>IF(ISBLANK(C370),"",IF((U370&gt;(LOOKUP(E370,WKNrListe,Übersicht!$O$7:$O$46)))+(U370&lt;(LOOKUP(E370,WKNrListe,Übersicht!$P$7:$P$46))),"JG falsch",""))</f>
        <v/>
      </c>
      <c r="Y370" s="255" t="str">
        <f>IF((A370="")*(B370=""),"",IF(ISERROR(MATCH(E370,WKNrListe,0)),"WK falsch",LOOKUP(E370,WKNrListe,Übersicht!$B$7:$B$46)))</f>
        <v/>
      </c>
      <c r="Z370" s="269" t="str">
        <f>IF(((AJ370=0)*(AH370&lt;&gt;"")*(AK370="-"))+((AJ370&lt;&gt;0)*(AH370&lt;&gt;"")*(AK370="-")),IF(AG370="X",Übersicht!$C$70,Übersicht!$C$69),"-")</f>
        <v>-</v>
      </c>
      <c r="AA370" s="252" t="str">
        <f>IF((($A370="")*($B370=""))+((MID($Y370,1,4)&lt;&gt;"Wahl")*(Deckblatt!$C$14='WK-Vorlagen'!$C$82))+(Deckblatt!$C$14&lt;&gt;'WK-Vorlagen'!$C$82),"",IF(ISERROR(MATCH(VALUE(MID(G370,1,2)),Schwierigkeitsstufen!$G$7:$G$19,0)),"Gerät falsch",LOOKUP(VALUE(MID(G370,1,2)),Schwierigkeitsstufen!$G$7:$G$19,Schwierigkeitsstufen!$H$7:$H$19)))</f>
        <v/>
      </c>
      <c r="AB370" s="250" t="str">
        <f>IF((($A370="")*($B370=""))+((MID($Y370,1,4)&lt;&gt;"Wahl")*(Deckblatt!$C$14='WK-Vorlagen'!$C$82))+(Deckblatt!$C$14&lt;&gt;'WK-Vorlagen'!$C$82),"",IF(ISERROR(MATCH(VALUE(MID(H370,1,2)),Schwierigkeitsstufen!$G$7:$G$19,0)),"Gerät falsch",LOOKUP(VALUE(MID(H370,1,2)),Schwierigkeitsstufen!$G$7:$G$19,Schwierigkeitsstufen!$H$7:$H$19)))</f>
        <v/>
      </c>
      <c r="AC370" s="250" t="str">
        <f>IF((($A370="")*($B370=""))+((MID($Y370,1,4)&lt;&gt;"Wahl")*(Deckblatt!$C$14='WK-Vorlagen'!$C$82))+(Deckblatt!$C$14&lt;&gt;'WK-Vorlagen'!$C$82),"",IF(ISERROR(MATCH(VALUE(MID(I370,1,2)),Schwierigkeitsstufen!$G$7:$G$19,0)),"Gerät falsch",LOOKUP(VALUE(MID(I370,1,2)),Schwierigkeitsstufen!$G$7:$G$19,Schwierigkeitsstufen!$H$7:$H$19)))</f>
        <v/>
      </c>
      <c r="AD370" s="251" t="str">
        <f>IF((($A370="")*($B370=""))+((MID($Y370,1,4)&lt;&gt;"Wahl")*(Deckblatt!$C$14='WK-Vorlagen'!$C$82))+(Deckblatt!$C$14&lt;&gt;'WK-Vorlagen'!$C$82),"",IF(ISERROR(MATCH(VALUE(MID(J370,1,2)),Schwierigkeitsstufen!$G$7:$G$19,0)),"Gerät falsch",LOOKUP(VALUE(MID(J370,1,2)),Schwierigkeitsstufen!$G$7:$G$19,Schwierigkeitsstufen!$H$7:$H$19)))</f>
        <v/>
      </c>
      <c r="AE370" s="211"/>
      <c r="AG370" s="221" t="str">
        <f t="shared" si="45"/>
        <v/>
      </c>
      <c r="AH370" s="222" t="str">
        <f t="shared" si="47"/>
        <v/>
      </c>
      <c r="AI370" s="220">
        <f t="shared" si="52"/>
        <v>4</v>
      </c>
      <c r="AJ370" s="222">
        <f t="shared" si="48"/>
        <v>0</v>
      </c>
      <c r="AK370" s="299" t="str">
        <f>IF(ISERROR(LOOKUP(E370,WKNrListe,Übersicht!$R$7:$R$46)),"-",LOOKUP(E370,WKNrListe,Übersicht!$R$7:$R$46))</f>
        <v>-</v>
      </c>
      <c r="AL370" s="299" t="str">
        <f t="shared" si="51"/>
        <v>-</v>
      </c>
      <c r="AM370" s="303"/>
      <c r="AN370" s="174" t="str">
        <f t="shared" si="53"/>
        <v>Leer</v>
      </c>
    </row>
    <row r="371" spans="1:40" s="174" customFormat="1" ht="15" customHeight="1">
      <c r="A371" s="63"/>
      <c r="B371" s="63"/>
      <c r="C371" s="84"/>
      <c r="D371" s="85"/>
      <c r="E371" s="62"/>
      <c r="F371" s="62"/>
      <c r="G371" s="62"/>
      <c r="H371" s="62"/>
      <c r="I371" s="62"/>
      <c r="J371" s="62"/>
      <c r="K371" s="62"/>
      <c r="L371" s="62"/>
      <c r="M371" s="62"/>
      <c r="N371" s="62"/>
      <c r="O371" s="62"/>
      <c r="P371" s="62"/>
      <c r="Q371" s="62"/>
      <c r="R371" s="62"/>
      <c r="S371" s="258"/>
      <c r="T371" s="248" t="str">
        <f t="shared" si="49"/>
        <v/>
      </c>
      <c r="U371" s="249" t="str">
        <f t="shared" si="50"/>
        <v/>
      </c>
      <c r="V371" s="294" t="str">
        <f t="shared" si="46"/>
        <v/>
      </c>
      <c r="W371" s="294" t="str">
        <f>IF(((E371="")+(F371="")),"",IF(VLOOKUP(F371,Mannschaften!$A$1:$B$54,2,FALSE)&lt;&gt;E371,"Reiter Mannschaften füllen",""))</f>
        <v/>
      </c>
      <c r="X371" s="248" t="str">
        <f>IF(ISBLANK(C371),"",IF((U371&gt;(LOOKUP(E371,WKNrListe,Übersicht!$O$7:$O$46)))+(U371&lt;(LOOKUP(E371,WKNrListe,Übersicht!$P$7:$P$46))),"JG falsch",""))</f>
        <v/>
      </c>
      <c r="Y371" s="255" t="str">
        <f>IF((A371="")*(B371=""),"",IF(ISERROR(MATCH(E371,WKNrListe,0)),"WK falsch",LOOKUP(E371,WKNrListe,Übersicht!$B$7:$B$46)))</f>
        <v/>
      </c>
      <c r="Z371" s="269" t="str">
        <f>IF(((AJ371=0)*(AH371&lt;&gt;"")*(AK371="-"))+((AJ371&lt;&gt;0)*(AH371&lt;&gt;"")*(AK371="-")),IF(AG371="X",Übersicht!$C$70,Übersicht!$C$69),"-")</f>
        <v>-</v>
      </c>
      <c r="AA371" s="252" t="str">
        <f>IF((($A371="")*($B371=""))+((MID($Y371,1,4)&lt;&gt;"Wahl")*(Deckblatt!$C$14='WK-Vorlagen'!$C$82))+(Deckblatt!$C$14&lt;&gt;'WK-Vorlagen'!$C$82),"",IF(ISERROR(MATCH(VALUE(MID(G371,1,2)),Schwierigkeitsstufen!$G$7:$G$19,0)),"Gerät falsch",LOOKUP(VALUE(MID(G371,1,2)),Schwierigkeitsstufen!$G$7:$G$19,Schwierigkeitsstufen!$H$7:$H$19)))</f>
        <v/>
      </c>
      <c r="AB371" s="250" t="str">
        <f>IF((($A371="")*($B371=""))+((MID($Y371,1,4)&lt;&gt;"Wahl")*(Deckblatt!$C$14='WK-Vorlagen'!$C$82))+(Deckblatt!$C$14&lt;&gt;'WK-Vorlagen'!$C$82),"",IF(ISERROR(MATCH(VALUE(MID(H371,1,2)),Schwierigkeitsstufen!$G$7:$G$19,0)),"Gerät falsch",LOOKUP(VALUE(MID(H371,1,2)),Schwierigkeitsstufen!$G$7:$G$19,Schwierigkeitsstufen!$H$7:$H$19)))</f>
        <v/>
      </c>
      <c r="AC371" s="250" t="str">
        <f>IF((($A371="")*($B371=""))+((MID($Y371,1,4)&lt;&gt;"Wahl")*(Deckblatt!$C$14='WK-Vorlagen'!$C$82))+(Deckblatt!$C$14&lt;&gt;'WK-Vorlagen'!$C$82),"",IF(ISERROR(MATCH(VALUE(MID(I371,1,2)),Schwierigkeitsstufen!$G$7:$G$19,0)),"Gerät falsch",LOOKUP(VALUE(MID(I371,1,2)),Schwierigkeitsstufen!$G$7:$G$19,Schwierigkeitsstufen!$H$7:$H$19)))</f>
        <v/>
      </c>
      <c r="AD371" s="251" t="str">
        <f>IF((($A371="")*($B371=""))+((MID($Y371,1,4)&lt;&gt;"Wahl")*(Deckblatt!$C$14='WK-Vorlagen'!$C$82))+(Deckblatt!$C$14&lt;&gt;'WK-Vorlagen'!$C$82),"",IF(ISERROR(MATCH(VALUE(MID(J371,1,2)),Schwierigkeitsstufen!$G$7:$G$19,0)),"Gerät falsch",LOOKUP(VALUE(MID(J371,1,2)),Schwierigkeitsstufen!$G$7:$G$19,Schwierigkeitsstufen!$H$7:$H$19)))</f>
        <v/>
      </c>
      <c r="AE371" s="211"/>
      <c r="AG371" s="221" t="str">
        <f t="shared" si="45"/>
        <v/>
      </c>
      <c r="AH371" s="222" t="str">
        <f t="shared" si="47"/>
        <v/>
      </c>
      <c r="AI371" s="220">
        <f t="shared" si="52"/>
        <v>4</v>
      </c>
      <c r="AJ371" s="222">
        <f t="shared" si="48"/>
        <v>0</v>
      </c>
      <c r="AK371" s="299" t="str">
        <f>IF(ISERROR(LOOKUP(E371,WKNrListe,Übersicht!$R$7:$R$46)),"-",LOOKUP(E371,WKNrListe,Übersicht!$R$7:$R$46))</f>
        <v>-</v>
      </c>
      <c r="AL371" s="299" t="str">
        <f t="shared" si="51"/>
        <v>-</v>
      </c>
      <c r="AM371" s="303"/>
      <c r="AN371" s="174" t="str">
        <f t="shared" si="53"/>
        <v>Leer</v>
      </c>
    </row>
    <row r="372" spans="1:40" s="174" customFormat="1" ht="15" customHeight="1">
      <c r="A372" s="63"/>
      <c r="B372" s="63"/>
      <c r="C372" s="84"/>
      <c r="D372" s="85"/>
      <c r="E372" s="62"/>
      <c r="F372" s="62"/>
      <c r="G372" s="62"/>
      <c r="H372" s="62"/>
      <c r="I372" s="62"/>
      <c r="J372" s="62"/>
      <c r="K372" s="62"/>
      <c r="L372" s="62"/>
      <c r="M372" s="62"/>
      <c r="N372" s="62"/>
      <c r="O372" s="62"/>
      <c r="P372" s="62"/>
      <c r="Q372" s="62"/>
      <c r="R372" s="62"/>
      <c r="S372" s="258"/>
      <c r="T372" s="248" t="str">
        <f t="shared" si="49"/>
        <v/>
      </c>
      <c r="U372" s="249" t="str">
        <f t="shared" si="50"/>
        <v/>
      </c>
      <c r="V372" s="294" t="str">
        <f t="shared" si="46"/>
        <v/>
      </c>
      <c r="W372" s="294" t="str">
        <f>IF(((E372="")+(F372="")),"",IF(VLOOKUP(F372,Mannschaften!$A$1:$B$54,2,FALSE)&lt;&gt;E372,"Reiter Mannschaften füllen",""))</f>
        <v/>
      </c>
      <c r="X372" s="248" t="str">
        <f>IF(ISBLANK(C372),"",IF((U372&gt;(LOOKUP(E372,WKNrListe,Übersicht!$O$7:$O$46)))+(U372&lt;(LOOKUP(E372,WKNrListe,Übersicht!$P$7:$P$46))),"JG falsch",""))</f>
        <v/>
      </c>
      <c r="Y372" s="255" t="str">
        <f>IF((A372="")*(B372=""),"",IF(ISERROR(MATCH(E372,WKNrListe,0)),"WK falsch",LOOKUP(E372,WKNrListe,Übersicht!$B$7:$B$46)))</f>
        <v/>
      </c>
      <c r="Z372" s="269" t="str">
        <f>IF(((AJ372=0)*(AH372&lt;&gt;"")*(AK372="-"))+((AJ372&lt;&gt;0)*(AH372&lt;&gt;"")*(AK372="-")),IF(AG372="X",Übersicht!$C$70,Übersicht!$C$69),"-")</f>
        <v>-</v>
      </c>
      <c r="AA372" s="252" t="str">
        <f>IF((($A372="")*($B372=""))+((MID($Y372,1,4)&lt;&gt;"Wahl")*(Deckblatt!$C$14='WK-Vorlagen'!$C$82))+(Deckblatt!$C$14&lt;&gt;'WK-Vorlagen'!$C$82),"",IF(ISERROR(MATCH(VALUE(MID(G372,1,2)),Schwierigkeitsstufen!$G$7:$G$19,0)),"Gerät falsch",LOOKUP(VALUE(MID(G372,1,2)),Schwierigkeitsstufen!$G$7:$G$19,Schwierigkeitsstufen!$H$7:$H$19)))</f>
        <v/>
      </c>
      <c r="AB372" s="250" t="str">
        <f>IF((($A372="")*($B372=""))+((MID($Y372,1,4)&lt;&gt;"Wahl")*(Deckblatt!$C$14='WK-Vorlagen'!$C$82))+(Deckblatt!$C$14&lt;&gt;'WK-Vorlagen'!$C$82),"",IF(ISERROR(MATCH(VALUE(MID(H372,1,2)),Schwierigkeitsstufen!$G$7:$G$19,0)),"Gerät falsch",LOOKUP(VALUE(MID(H372,1,2)),Schwierigkeitsstufen!$G$7:$G$19,Schwierigkeitsstufen!$H$7:$H$19)))</f>
        <v/>
      </c>
      <c r="AC372" s="250" t="str">
        <f>IF((($A372="")*($B372=""))+((MID($Y372,1,4)&lt;&gt;"Wahl")*(Deckblatt!$C$14='WK-Vorlagen'!$C$82))+(Deckblatt!$C$14&lt;&gt;'WK-Vorlagen'!$C$82),"",IF(ISERROR(MATCH(VALUE(MID(I372,1,2)),Schwierigkeitsstufen!$G$7:$G$19,0)),"Gerät falsch",LOOKUP(VALUE(MID(I372,1,2)),Schwierigkeitsstufen!$G$7:$G$19,Schwierigkeitsstufen!$H$7:$H$19)))</f>
        <v/>
      </c>
      <c r="AD372" s="251" t="str">
        <f>IF((($A372="")*($B372=""))+((MID($Y372,1,4)&lt;&gt;"Wahl")*(Deckblatt!$C$14='WK-Vorlagen'!$C$82))+(Deckblatt!$C$14&lt;&gt;'WK-Vorlagen'!$C$82),"",IF(ISERROR(MATCH(VALUE(MID(J372,1,2)),Schwierigkeitsstufen!$G$7:$G$19,0)),"Gerät falsch",LOOKUP(VALUE(MID(J372,1,2)),Schwierigkeitsstufen!$G$7:$G$19,Schwierigkeitsstufen!$H$7:$H$19)))</f>
        <v/>
      </c>
      <c r="AE372" s="211"/>
      <c r="AG372" s="221" t="str">
        <f t="shared" si="45"/>
        <v/>
      </c>
      <c r="AH372" s="222" t="str">
        <f t="shared" si="47"/>
        <v/>
      </c>
      <c r="AI372" s="220">
        <f t="shared" si="52"/>
        <v>4</v>
      </c>
      <c r="AJ372" s="222">
        <f t="shared" si="48"/>
        <v>0</v>
      </c>
      <c r="AK372" s="299" t="str">
        <f>IF(ISERROR(LOOKUP(E372,WKNrListe,Übersicht!$R$7:$R$46)),"-",LOOKUP(E372,WKNrListe,Übersicht!$R$7:$R$46))</f>
        <v>-</v>
      </c>
      <c r="AL372" s="299" t="str">
        <f t="shared" si="51"/>
        <v>-</v>
      </c>
      <c r="AM372" s="303"/>
      <c r="AN372" s="174" t="str">
        <f t="shared" si="53"/>
        <v>Leer</v>
      </c>
    </row>
    <row r="373" spans="1:40" s="174" customFormat="1" ht="15" customHeight="1">
      <c r="A373" s="63"/>
      <c r="B373" s="63"/>
      <c r="C373" s="84"/>
      <c r="D373" s="85"/>
      <c r="E373" s="62"/>
      <c r="F373" s="62"/>
      <c r="G373" s="62"/>
      <c r="H373" s="62"/>
      <c r="I373" s="62"/>
      <c r="J373" s="62"/>
      <c r="K373" s="62"/>
      <c r="L373" s="62"/>
      <c r="M373" s="62"/>
      <c r="N373" s="62"/>
      <c r="O373" s="62"/>
      <c r="P373" s="62"/>
      <c r="Q373" s="62"/>
      <c r="R373" s="62"/>
      <c r="S373" s="258"/>
      <c r="T373" s="248" t="str">
        <f t="shared" si="49"/>
        <v/>
      </c>
      <c r="U373" s="249" t="str">
        <f t="shared" si="50"/>
        <v/>
      </c>
      <c r="V373" s="294" t="str">
        <f t="shared" si="46"/>
        <v/>
      </c>
      <c r="W373" s="294" t="str">
        <f>IF(((E373="")+(F373="")),"",IF(VLOOKUP(F373,Mannschaften!$A$1:$B$54,2,FALSE)&lt;&gt;E373,"Reiter Mannschaften füllen",""))</f>
        <v/>
      </c>
      <c r="X373" s="248" t="str">
        <f>IF(ISBLANK(C373),"",IF((U373&gt;(LOOKUP(E373,WKNrListe,Übersicht!$O$7:$O$46)))+(U373&lt;(LOOKUP(E373,WKNrListe,Übersicht!$P$7:$P$46))),"JG falsch",""))</f>
        <v/>
      </c>
      <c r="Y373" s="255" t="str">
        <f>IF((A373="")*(B373=""),"",IF(ISERROR(MATCH(E373,WKNrListe,0)),"WK falsch",LOOKUP(E373,WKNrListe,Übersicht!$B$7:$B$46)))</f>
        <v/>
      </c>
      <c r="Z373" s="269" t="str">
        <f>IF(((AJ373=0)*(AH373&lt;&gt;"")*(AK373="-"))+((AJ373&lt;&gt;0)*(AH373&lt;&gt;"")*(AK373="-")),IF(AG373="X",Übersicht!$C$70,Übersicht!$C$69),"-")</f>
        <v>-</v>
      </c>
      <c r="AA373" s="252" t="str">
        <f>IF((($A373="")*($B373=""))+((MID($Y373,1,4)&lt;&gt;"Wahl")*(Deckblatt!$C$14='WK-Vorlagen'!$C$82))+(Deckblatt!$C$14&lt;&gt;'WK-Vorlagen'!$C$82),"",IF(ISERROR(MATCH(VALUE(MID(G373,1,2)),Schwierigkeitsstufen!$G$7:$G$19,0)),"Gerät falsch",LOOKUP(VALUE(MID(G373,1,2)),Schwierigkeitsstufen!$G$7:$G$19,Schwierigkeitsstufen!$H$7:$H$19)))</f>
        <v/>
      </c>
      <c r="AB373" s="250" t="str">
        <f>IF((($A373="")*($B373=""))+((MID($Y373,1,4)&lt;&gt;"Wahl")*(Deckblatt!$C$14='WK-Vorlagen'!$C$82))+(Deckblatt!$C$14&lt;&gt;'WK-Vorlagen'!$C$82),"",IF(ISERROR(MATCH(VALUE(MID(H373,1,2)),Schwierigkeitsstufen!$G$7:$G$19,0)),"Gerät falsch",LOOKUP(VALUE(MID(H373,1,2)),Schwierigkeitsstufen!$G$7:$G$19,Schwierigkeitsstufen!$H$7:$H$19)))</f>
        <v/>
      </c>
      <c r="AC373" s="250" t="str">
        <f>IF((($A373="")*($B373=""))+((MID($Y373,1,4)&lt;&gt;"Wahl")*(Deckblatt!$C$14='WK-Vorlagen'!$C$82))+(Deckblatt!$C$14&lt;&gt;'WK-Vorlagen'!$C$82),"",IF(ISERROR(MATCH(VALUE(MID(I373,1,2)),Schwierigkeitsstufen!$G$7:$G$19,0)),"Gerät falsch",LOOKUP(VALUE(MID(I373,1,2)),Schwierigkeitsstufen!$G$7:$G$19,Schwierigkeitsstufen!$H$7:$H$19)))</f>
        <v/>
      </c>
      <c r="AD373" s="251" t="str">
        <f>IF((($A373="")*($B373=""))+((MID($Y373,1,4)&lt;&gt;"Wahl")*(Deckblatt!$C$14='WK-Vorlagen'!$C$82))+(Deckblatt!$C$14&lt;&gt;'WK-Vorlagen'!$C$82),"",IF(ISERROR(MATCH(VALUE(MID(J373,1,2)),Schwierigkeitsstufen!$G$7:$G$19,0)),"Gerät falsch",LOOKUP(VALUE(MID(J373,1,2)),Schwierigkeitsstufen!$G$7:$G$19,Schwierigkeitsstufen!$H$7:$H$19)))</f>
        <v/>
      </c>
      <c r="AE373" s="211"/>
      <c r="AG373" s="221" t="str">
        <f t="shared" si="45"/>
        <v/>
      </c>
      <c r="AH373" s="222" t="str">
        <f t="shared" si="47"/>
        <v/>
      </c>
      <c r="AI373" s="220">
        <f t="shared" si="52"/>
        <v>4</v>
      </c>
      <c r="AJ373" s="222">
        <f t="shared" si="48"/>
        <v>0</v>
      </c>
      <c r="AK373" s="299" t="str">
        <f>IF(ISERROR(LOOKUP(E373,WKNrListe,Übersicht!$R$7:$R$46)),"-",LOOKUP(E373,WKNrListe,Übersicht!$R$7:$R$46))</f>
        <v>-</v>
      </c>
      <c r="AL373" s="299" t="str">
        <f t="shared" si="51"/>
        <v>-</v>
      </c>
      <c r="AM373" s="303"/>
      <c r="AN373" s="174" t="str">
        <f t="shared" si="53"/>
        <v>Leer</v>
      </c>
    </row>
    <row r="374" spans="1:40" s="174" customFormat="1" ht="15" customHeight="1">
      <c r="A374" s="63"/>
      <c r="B374" s="63"/>
      <c r="C374" s="84"/>
      <c r="D374" s="85"/>
      <c r="E374" s="62"/>
      <c r="F374" s="62"/>
      <c r="G374" s="62"/>
      <c r="H374" s="62"/>
      <c r="I374" s="62"/>
      <c r="J374" s="62"/>
      <c r="K374" s="62"/>
      <c r="L374" s="62"/>
      <c r="M374" s="62"/>
      <c r="N374" s="62"/>
      <c r="O374" s="62"/>
      <c r="P374" s="62"/>
      <c r="Q374" s="62"/>
      <c r="R374" s="62"/>
      <c r="S374" s="258"/>
      <c r="T374" s="248" t="str">
        <f t="shared" si="49"/>
        <v/>
      </c>
      <c r="U374" s="249" t="str">
        <f t="shared" si="50"/>
        <v/>
      </c>
      <c r="V374" s="294" t="str">
        <f t="shared" si="46"/>
        <v/>
      </c>
      <c r="W374" s="294" t="str">
        <f>IF(((E374="")+(F374="")),"",IF(VLOOKUP(F374,Mannschaften!$A$1:$B$54,2,FALSE)&lt;&gt;E374,"Reiter Mannschaften füllen",""))</f>
        <v/>
      </c>
      <c r="X374" s="248" t="str">
        <f>IF(ISBLANK(C374),"",IF((U374&gt;(LOOKUP(E374,WKNrListe,Übersicht!$O$7:$O$46)))+(U374&lt;(LOOKUP(E374,WKNrListe,Übersicht!$P$7:$P$46))),"JG falsch",""))</f>
        <v/>
      </c>
      <c r="Y374" s="255" t="str">
        <f>IF((A374="")*(B374=""),"",IF(ISERROR(MATCH(E374,WKNrListe,0)),"WK falsch",LOOKUP(E374,WKNrListe,Übersicht!$B$7:$B$46)))</f>
        <v/>
      </c>
      <c r="Z374" s="269" t="str">
        <f>IF(((AJ374=0)*(AH374&lt;&gt;"")*(AK374="-"))+((AJ374&lt;&gt;0)*(AH374&lt;&gt;"")*(AK374="-")),IF(AG374="X",Übersicht!$C$70,Übersicht!$C$69),"-")</f>
        <v>-</v>
      </c>
      <c r="AA374" s="252" t="str">
        <f>IF((($A374="")*($B374=""))+((MID($Y374,1,4)&lt;&gt;"Wahl")*(Deckblatt!$C$14='WK-Vorlagen'!$C$82))+(Deckblatt!$C$14&lt;&gt;'WK-Vorlagen'!$C$82),"",IF(ISERROR(MATCH(VALUE(MID(G374,1,2)),Schwierigkeitsstufen!$G$7:$G$19,0)),"Gerät falsch",LOOKUP(VALUE(MID(G374,1,2)),Schwierigkeitsstufen!$G$7:$G$19,Schwierigkeitsstufen!$H$7:$H$19)))</f>
        <v/>
      </c>
      <c r="AB374" s="250" t="str">
        <f>IF((($A374="")*($B374=""))+((MID($Y374,1,4)&lt;&gt;"Wahl")*(Deckblatt!$C$14='WK-Vorlagen'!$C$82))+(Deckblatt!$C$14&lt;&gt;'WK-Vorlagen'!$C$82),"",IF(ISERROR(MATCH(VALUE(MID(H374,1,2)),Schwierigkeitsstufen!$G$7:$G$19,0)),"Gerät falsch",LOOKUP(VALUE(MID(H374,1,2)),Schwierigkeitsstufen!$G$7:$G$19,Schwierigkeitsstufen!$H$7:$H$19)))</f>
        <v/>
      </c>
      <c r="AC374" s="250" t="str">
        <f>IF((($A374="")*($B374=""))+((MID($Y374,1,4)&lt;&gt;"Wahl")*(Deckblatt!$C$14='WK-Vorlagen'!$C$82))+(Deckblatt!$C$14&lt;&gt;'WK-Vorlagen'!$C$82),"",IF(ISERROR(MATCH(VALUE(MID(I374,1,2)),Schwierigkeitsstufen!$G$7:$G$19,0)),"Gerät falsch",LOOKUP(VALUE(MID(I374,1,2)),Schwierigkeitsstufen!$G$7:$G$19,Schwierigkeitsstufen!$H$7:$H$19)))</f>
        <v/>
      </c>
      <c r="AD374" s="251" t="str">
        <f>IF((($A374="")*($B374=""))+((MID($Y374,1,4)&lt;&gt;"Wahl")*(Deckblatt!$C$14='WK-Vorlagen'!$C$82))+(Deckblatt!$C$14&lt;&gt;'WK-Vorlagen'!$C$82),"",IF(ISERROR(MATCH(VALUE(MID(J374,1,2)),Schwierigkeitsstufen!$G$7:$G$19,0)),"Gerät falsch",LOOKUP(VALUE(MID(J374,1,2)),Schwierigkeitsstufen!$G$7:$G$19,Schwierigkeitsstufen!$H$7:$H$19)))</f>
        <v/>
      </c>
      <c r="AE374" s="211"/>
      <c r="AG374" s="221" t="str">
        <f t="shared" si="45"/>
        <v/>
      </c>
      <c r="AH374" s="222" t="str">
        <f t="shared" si="47"/>
        <v/>
      </c>
      <c r="AI374" s="220">
        <f t="shared" si="52"/>
        <v>4</v>
      </c>
      <c r="AJ374" s="222">
        <f t="shared" si="48"/>
        <v>0</v>
      </c>
      <c r="AK374" s="299" t="str">
        <f>IF(ISERROR(LOOKUP(E374,WKNrListe,Übersicht!$R$7:$R$46)),"-",LOOKUP(E374,WKNrListe,Übersicht!$R$7:$R$46))</f>
        <v>-</v>
      </c>
      <c r="AL374" s="299" t="str">
        <f t="shared" si="51"/>
        <v>-</v>
      </c>
      <c r="AM374" s="303"/>
      <c r="AN374" s="174" t="str">
        <f t="shared" si="53"/>
        <v>Leer</v>
      </c>
    </row>
    <row r="375" spans="1:40" s="174" customFormat="1" ht="15" customHeight="1">
      <c r="A375" s="63"/>
      <c r="B375" s="63"/>
      <c r="C375" s="84"/>
      <c r="D375" s="85"/>
      <c r="E375" s="62"/>
      <c r="F375" s="62"/>
      <c r="G375" s="62"/>
      <c r="H375" s="62"/>
      <c r="I375" s="62"/>
      <c r="J375" s="62"/>
      <c r="K375" s="62"/>
      <c r="L375" s="62"/>
      <c r="M375" s="62"/>
      <c r="N375" s="62"/>
      <c r="O375" s="62"/>
      <c r="P375" s="62"/>
      <c r="Q375" s="62"/>
      <c r="R375" s="62"/>
      <c r="S375" s="258"/>
      <c r="T375" s="248" t="str">
        <f t="shared" si="49"/>
        <v/>
      </c>
      <c r="U375" s="249" t="str">
        <f t="shared" si="50"/>
        <v/>
      </c>
      <c r="V375" s="294" t="str">
        <f t="shared" si="46"/>
        <v/>
      </c>
      <c r="W375" s="294" t="str">
        <f>IF(((E375="")+(F375="")),"",IF(VLOOKUP(F375,Mannschaften!$A$1:$B$54,2,FALSE)&lt;&gt;E375,"Reiter Mannschaften füllen",""))</f>
        <v/>
      </c>
      <c r="X375" s="248" t="str">
        <f>IF(ISBLANK(C375),"",IF((U375&gt;(LOOKUP(E375,WKNrListe,Übersicht!$O$7:$O$46)))+(U375&lt;(LOOKUP(E375,WKNrListe,Übersicht!$P$7:$P$46))),"JG falsch",""))</f>
        <v/>
      </c>
      <c r="Y375" s="255" t="str">
        <f>IF((A375="")*(B375=""),"",IF(ISERROR(MATCH(E375,WKNrListe,0)),"WK falsch",LOOKUP(E375,WKNrListe,Übersicht!$B$7:$B$46)))</f>
        <v/>
      </c>
      <c r="Z375" s="269" t="str">
        <f>IF(((AJ375=0)*(AH375&lt;&gt;"")*(AK375="-"))+((AJ375&lt;&gt;0)*(AH375&lt;&gt;"")*(AK375="-")),IF(AG375="X",Übersicht!$C$70,Übersicht!$C$69),"-")</f>
        <v>-</v>
      </c>
      <c r="AA375" s="252" t="str">
        <f>IF((($A375="")*($B375=""))+((MID($Y375,1,4)&lt;&gt;"Wahl")*(Deckblatt!$C$14='WK-Vorlagen'!$C$82))+(Deckblatt!$C$14&lt;&gt;'WK-Vorlagen'!$C$82),"",IF(ISERROR(MATCH(VALUE(MID(G375,1,2)),Schwierigkeitsstufen!$G$7:$G$19,0)),"Gerät falsch",LOOKUP(VALUE(MID(G375,1,2)),Schwierigkeitsstufen!$G$7:$G$19,Schwierigkeitsstufen!$H$7:$H$19)))</f>
        <v/>
      </c>
      <c r="AB375" s="250" t="str">
        <f>IF((($A375="")*($B375=""))+((MID($Y375,1,4)&lt;&gt;"Wahl")*(Deckblatt!$C$14='WK-Vorlagen'!$C$82))+(Deckblatt!$C$14&lt;&gt;'WK-Vorlagen'!$C$82),"",IF(ISERROR(MATCH(VALUE(MID(H375,1,2)),Schwierigkeitsstufen!$G$7:$G$19,0)),"Gerät falsch",LOOKUP(VALUE(MID(H375,1,2)),Schwierigkeitsstufen!$G$7:$G$19,Schwierigkeitsstufen!$H$7:$H$19)))</f>
        <v/>
      </c>
      <c r="AC375" s="250" t="str">
        <f>IF((($A375="")*($B375=""))+((MID($Y375,1,4)&lt;&gt;"Wahl")*(Deckblatt!$C$14='WK-Vorlagen'!$C$82))+(Deckblatt!$C$14&lt;&gt;'WK-Vorlagen'!$C$82),"",IF(ISERROR(MATCH(VALUE(MID(I375,1,2)),Schwierigkeitsstufen!$G$7:$G$19,0)),"Gerät falsch",LOOKUP(VALUE(MID(I375,1,2)),Schwierigkeitsstufen!$G$7:$G$19,Schwierigkeitsstufen!$H$7:$H$19)))</f>
        <v/>
      </c>
      <c r="AD375" s="251" t="str">
        <f>IF((($A375="")*($B375=""))+((MID($Y375,1,4)&lt;&gt;"Wahl")*(Deckblatt!$C$14='WK-Vorlagen'!$C$82))+(Deckblatt!$C$14&lt;&gt;'WK-Vorlagen'!$C$82),"",IF(ISERROR(MATCH(VALUE(MID(J375,1,2)),Schwierigkeitsstufen!$G$7:$G$19,0)),"Gerät falsch",LOOKUP(VALUE(MID(J375,1,2)),Schwierigkeitsstufen!$G$7:$G$19,Schwierigkeitsstufen!$H$7:$H$19)))</f>
        <v/>
      </c>
      <c r="AE375" s="211"/>
      <c r="AG375" s="221" t="str">
        <f t="shared" si="45"/>
        <v/>
      </c>
      <c r="AH375" s="222" t="str">
        <f t="shared" si="47"/>
        <v/>
      </c>
      <c r="AI375" s="220">
        <f t="shared" si="52"/>
        <v>4</v>
      </c>
      <c r="AJ375" s="222">
        <f t="shared" si="48"/>
        <v>0</v>
      </c>
      <c r="AK375" s="299" t="str">
        <f>IF(ISERROR(LOOKUP(E375,WKNrListe,Übersicht!$R$7:$R$46)),"-",LOOKUP(E375,WKNrListe,Übersicht!$R$7:$R$46))</f>
        <v>-</v>
      </c>
      <c r="AL375" s="299" t="str">
        <f t="shared" si="51"/>
        <v>-</v>
      </c>
      <c r="AM375" s="303"/>
      <c r="AN375" s="174" t="str">
        <f t="shared" si="53"/>
        <v>Leer</v>
      </c>
    </row>
    <row r="376" spans="1:40" s="174" customFormat="1" ht="15" customHeight="1">
      <c r="A376" s="63"/>
      <c r="B376" s="63"/>
      <c r="C376" s="84"/>
      <c r="D376" s="85"/>
      <c r="E376" s="62"/>
      <c r="F376" s="62"/>
      <c r="G376" s="62"/>
      <c r="H376" s="62"/>
      <c r="I376" s="62"/>
      <c r="J376" s="62"/>
      <c r="K376" s="62"/>
      <c r="L376" s="62"/>
      <c r="M376" s="62"/>
      <c r="N376" s="62"/>
      <c r="O376" s="62"/>
      <c r="P376" s="62"/>
      <c r="Q376" s="62"/>
      <c r="R376" s="62"/>
      <c r="S376" s="258"/>
      <c r="T376" s="248" t="str">
        <f t="shared" si="49"/>
        <v/>
      </c>
      <c r="U376" s="249" t="str">
        <f t="shared" si="50"/>
        <v/>
      </c>
      <c r="V376" s="294" t="str">
        <f t="shared" si="46"/>
        <v/>
      </c>
      <c r="W376" s="294" t="str">
        <f>IF(((E376="")+(F376="")),"",IF(VLOOKUP(F376,Mannschaften!$A$1:$B$54,2,FALSE)&lt;&gt;E376,"Reiter Mannschaften füllen",""))</f>
        <v/>
      </c>
      <c r="X376" s="248" t="str">
        <f>IF(ISBLANK(C376),"",IF((U376&gt;(LOOKUP(E376,WKNrListe,Übersicht!$O$7:$O$46)))+(U376&lt;(LOOKUP(E376,WKNrListe,Übersicht!$P$7:$P$46))),"JG falsch",""))</f>
        <v/>
      </c>
      <c r="Y376" s="255" t="str">
        <f>IF((A376="")*(B376=""),"",IF(ISERROR(MATCH(E376,WKNrListe,0)),"WK falsch",LOOKUP(E376,WKNrListe,Übersicht!$B$7:$B$46)))</f>
        <v/>
      </c>
      <c r="Z376" s="269" t="str">
        <f>IF(((AJ376=0)*(AH376&lt;&gt;"")*(AK376="-"))+((AJ376&lt;&gt;0)*(AH376&lt;&gt;"")*(AK376="-")),IF(AG376="X",Übersicht!$C$70,Übersicht!$C$69),"-")</f>
        <v>-</v>
      </c>
      <c r="AA376" s="252" t="str">
        <f>IF((($A376="")*($B376=""))+((MID($Y376,1,4)&lt;&gt;"Wahl")*(Deckblatt!$C$14='WK-Vorlagen'!$C$82))+(Deckblatt!$C$14&lt;&gt;'WK-Vorlagen'!$C$82),"",IF(ISERROR(MATCH(VALUE(MID(G376,1,2)),Schwierigkeitsstufen!$G$7:$G$19,0)),"Gerät falsch",LOOKUP(VALUE(MID(G376,1,2)),Schwierigkeitsstufen!$G$7:$G$19,Schwierigkeitsstufen!$H$7:$H$19)))</f>
        <v/>
      </c>
      <c r="AB376" s="250" t="str">
        <f>IF((($A376="")*($B376=""))+((MID($Y376,1,4)&lt;&gt;"Wahl")*(Deckblatt!$C$14='WK-Vorlagen'!$C$82))+(Deckblatt!$C$14&lt;&gt;'WK-Vorlagen'!$C$82),"",IF(ISERROR(MATCH(VALUE(MID(H376,1,2)),Schwierigkeitsstufen!$G$7:$G$19,0)),"Gerät falsch",LOOKUP(VALUE(MID(H376,1,2)),Schwierigkeitsstufen!$G$7:$G$19,Schwierigkeitsstufen!$H$7:$H$19)))</f>
        <v/>
      </c>
      <c r="AC376" s="250" t="str">
        <f>IF((($A376="")*($B376=""))+((MID($Y376,1,4)&lt;&gt;"Wahl")*(Deckblatt!$C$14='WK-Vorlagen'!$C$82))+(Deckblatt!$C$14&lt;&gt;'WK-Vorlagen'!$C$82),"",IF(ISERROR(MATCH(VALUE(MID(I376,1,2)),Schwierigkeitsstufen!$G$7:$G$19,0)),"Gerät falsch",LOOKUP(VALUE(MID(I376,1,2)),Schwierigkeitsstufen!$G$7:$G$19,Schwierigkeitsstufen!$H$7:$H$19)))</f>
        <v/>
      </c>
      <c r="AD376" s="251" t="str">
        <f>IF((($A376="")*($B376=""))+((MID($Y376,1,4)&lt;&gt;"Wahl")*(Deckblatt!$C$14='WK-Vorlagen'!$C$82))+(Deckblatt!$C$14&lt;&gt;'WK-Vorlagen'!$C$82),"",IF(ISERROR(MATCH(VALUE(MID(J376,1,2)),Schwierigkeitsstufen!$G$7:$G$19,0)),"Gerät falsch",LOOKUP(VALUE(MID(J376,1,2)),Schwierigkeitsstufen!$G$7:$G$19,Schwierigkeitsstufen!$H$7:$H$19)))</f>
        <v/>
      </c>
      <c r="AE376" s="211"/>
      <c r="AG376" s="221" t="str">
        <f t="shared" si="45"/>
        <v/>
      </c>
      <c r="AH376" s="222" t="str">
        <f t="shared" si="47"/>
        <v/>
      </c>
      <c r="AI376" s="220">
        <f t="shared" si="52"/>
        <v>4</v>
      </c>
      <c r="AJ376" s="222">
        <f t="shared" si="48"/>
        <v>0</v>
      </c>
      <c r="AK376" s="299" t="str">
        <f>IF(ISERROR(LOOKUP(E376,WKNrListe,Übersicht!$R$7:$R$46)),"-",LOOKUP(E376,WKNrListe,Übersicht!$R$7:$R$46))</f>
        <v>-</v>
      </c>
      <c r="AL376" s="299" t="str">
        <f t="shared" si="51"/>
        <v>-</v>
      </c>
      <c r="AM376" s="303"/>
      <c r="AN376" s="174" t="str">
        <f t="shared" si="53"/>
        <v>Leer</v>
      </c>
    </row>
    <row r="377" spans="1:40" s="174" customFormat="1" ht="15" customHeight="1">
      <c r="A377" s="63"/>
      <c r="B377" s="63"/>
      <c r="C377" s="84"/>
      <c r="D377" s="85"/>
      <c r="E377" s="62"/>
      <c r="F377" s="62"/>
      <c r="G377" s="62"/>
      <c r="H377" s="62"/>
      <c r="I377" s="62"/>
      <c r="J377" s="62"/>
      <c r="K377" s="62"/>
      <c r="L377" s="62"/>
      <c r="M377" s="62"/>
      <c r="N377" s="62"/>
      <c r="O377" s="62"/>
      <c r="P377" s="62"/>
      <c r="Q377" s="62"/>
      <c r="R377" s="62"/>
      <c r="S377" s="258"/>
      <c r="T377" s="248" t="str">
        <f t="shared" si="49"/>
        <v/>
      </c>
      <c r="U377" s="249" t="str">
        <f t="shared" si="50"/>
        <v/>
      </c>
      <c r="V377" s="294" t="str">
        <f t="shared" si="46"/>
        <v/>
      </c>
      <c r="W377" s="294" t="str">
        <f>IF(((E377="")+(F377="")),"",IF(VLOOKUP(F377,Mannschaften!$A$1:$B$54,2,FALSE)&lt;&gt;E377,"Reiter Mannschaften füllen",""))</f>
        <v/>
      </c>
      <c r="X377" s="248" t="str">
        <f>IF(ISBLANK(C377),"",IF((U377&gt;(LOOKUP(E377,WKNrListe,Übersicht!$O$7:$O$46)))+(U377&lt;(LOOKUP(E377,WKNrListe,Übersicht!$P$7:$P$46))),"JG falsch",""))</f>
        <v/>
      </c>
      <c r="Y377" s="255" t="str">
        <f>IF((A377="")*(B377=""),"",IF(ISERROR(MATCH(E377,WKNrListe,0)),"WK falsch",LOOKUP(E377,WKNrListe,Übersicht!$B$7:$B$46)))</f>
        <v/>
      </c>
      <c r="Z377" s="269" t="str">
        <f>IF(((AJ377=0)*(AH377&lt;&gt;"")*(AK377="-"))+((AJ377&lt;&gt;0)*(AH377&lt;&gt;"")*(AK377="-")),IF(AG377="X",Übersicht!$C$70,Übersicht!$C$69),"-")</f>
        <v>-</v>
      </c>
      <c r="AA377" s="252" t="str">
        <f>IF((($A377="")*($B377=""))+((MID($Y377,1,4)&lt;&gt;"Wahl")*(Deckblatt!$C$14='WK-Vorlagen'!$C$82))+(Deckblatt!$C$14&lt;&gt;'WK-Vorlagen'!$C$82),"",IF(ISERROR(MATCH(VALUE(MID(G377,1,2)),Schwierigkeitsstufen!$G$7:$G$19,0)),"Gerät falsch",LOOKUP(VALUE(MID(G377,1,2)),Schwierigkeitsstufen!$G$7:$G$19,Schwierigkeitsstufen!$H$7:$H$19)))</f>
        <v/>
      </c>
      <c r="AB377" s="250" t="str">
        <f>IF((($A377="")*($B377=""))+((MID($Y377,1,4)&lt;&gt;"Wahl")*(Deckblatt!$C$14='WK-Vorlagen'!$C$82))+(Deckblatt!$C$14&lt;&gt;'WK-Vorlagen'!$C$82),"",IF(ISERROR(MATCH(VALUE(MID(H377,1,2)),Schwierigkeitsstufen!$G$7:$G$19,0)),"Gerät falsch",LOOKUP(VALUE(MID(H377,1,2)),Schwierigkeitsstufen!$G$7:$G$19,Schwierigkeitsstufen!$H$7:$H$19)))</f>
        <v/>
      </c>
      <c r="AC377" s="250" t="str">
        <f>IF((($A377="")*($B377=""))+((MID($Y377,1,4)&lt;&gt;"Wahl")*(Deckblatt!$C$14='WK-Vorlagen'!$C$82))+(Deckblatt!$C$14&lt;&gt;'WK-Vorlagen'!$C$82),"",IF(ISERROR(MATCH(VALUE(MID(I377,1,2)),Schwierigkeitsstufen!$G$7:$G$19,0)),"Gerät falsch",LOOKUP(VALUE(MID(I377,1,2)),Schwierigkeitsstufen!$G$7:$G$19,Schwierigkeitsstufen!$H$7:$H$19)))</f>
        <v/>
      </c>
      <c r="AD377" s="251" t="str">
        <f>IF((($A377="")*($B377=""))+((MID($Y377,1,4)&lt;&gt;"Wahl")*(Deckblatt!$C$14='WK-Vorlagen'!$C$82))+(Deckblatt!$C$14&lt;&gt;'WK-Vorlagen'!$C$82),"",IF(ISERROR(MATCH(VALUE(MID(J377,1,2)),Schwierigkeitsstufen!$G$7:$G$19,0)),"Gerät falsch",LOOKUP(VALUE(MID(J377,1,2)),Schwierigkeitsstufen!$G$7:$G$19,Schwierigkeitsstufen!$H$7:$H$19)))</f>
        <v/>
      </c>
      <c r="AE377" s="211"/>
      <c r="AG377" s="221" t="str">
        <f t="shared" si="45"/>
        <v/>
      </c>
      <c r="AH377" s="222" t="str">
        <f t="shared" si="47"/>
        <v/>
      </c>
      <c r="AI377" s="220">
        <f t="shared" si="52"/>
        <v>4</v>
      </c>
      <c r="AJ377" s="222">
        <f t="shared" si="48"/>
        <v>0</v>
      </c>
      <c r="AK377" s="299" t="str">
        <f>IF(ISERROR(LOOKUP(E377,WKNrListe,Übersicht!$R$7:$R$46)),"-",LOOKUP(E377,WKNrListe,Übersicht!$R$7:$R$46))</f>
        <v>-</v>
      </c>
      <c r="AL377" s="299" t="str">
        <f t="shared" si="51"/>
        <v>-</v>
      </c>
      <c r="AM377" s="303"/>
      <c r="AN377" s="174" t="str">
        <f t="shared" si="53"/>
        <v>Leer</v>
      </c>
    </row>
    <row r="378" spans="1:40" s="174" customFormat="1" ht="15" customHeight="1">
      <c r="A378" s="63"/>
      <c r="B378" s="63"/>
      <c r="C378" s="84"/>
      <c r="D378" s="85"/>
      <c r="E378" s="62"/>
      <c r="F378" s="62"/>
      <c r="G378" s="62"/>
      <c r="H378" s="62"/>
      <c r="I378" s="62"/>
      <c r="J378" s="62"/>
      <c r="K378" s="62"/>
      <c r="L378" s="62"/>
      <c r="M378" s="62"/>
      <c r="N378" s="62"/>
      <c r="O378" s="62"/>
      <c r="P378" s="62"/>
      <c r="Q378" s="62"/>
      <c r="R378" s="62"/>
      <c r="S378" s="258"/>
      <c r="T378" s="248" t="str">
        <f t="shared" si="49"/>
        <v/>
      </c>
      <c r="U378" s="249" t="str">
        <f t="shared" si="50"/>
        <v/>
      </c>
      <c r="V378" s="294" t="str">
        <f t="shared" si="46"/>
        <v/>
      </c>
      <c r="W378" s="294" t="str">
        <f>IF(((E378="")+(F378="")),"",IF(VLOOKUP(F378,Mannschaften!$A$1:$B$54,2,FALSE)&lt;&gt;E378,"Reiter Mannschaften füllen",""))</f>
        <v/>
      </c>
      <c r="X378" s="248" t="str">
        <f>IF(ISBLANK(C378),"",IF((U378&gt;(LOOKUP(E378,WKNrListe,Übersicht!$O$7:$O$46)))+(U378&lt;(LOOKUP(E378,WKNrListe,Übersicht!$P$7:$P$46))),"JG falsch",""))</f>
        <v/>
      </c>
      <c r="Y378" s="255" t="str">
        <f>IF((A378="")*(B378=""),"",IF(ISERROR(MATCH(E378,WKNrListe,0)),"WK falsch",LOOKUP(E378,WKNrListe,Übersicht!$B$7:$B$46)))</f>
        <v/>
      </c>
      <c r="Z378" s="269" t="str">
        <f>IF(((AJ378=0)*(AH378&lt;&gt;"")*(AK378="-"))+((AJ378&lt;&gt;0)*(AH378&lt;&gt;"")*(AK378="-")),IF(AG378="X",Übersicht!$C$70,Übersicht!$C$69),"-")</f>
        <v>-</v>
      </c>
      <c r="AA378" s="252" t="str">
        <f>IF((($A378="")*($B378=""))+((MID($Y378,1,4)&lt;&gt;"Wahl")*(Deckblatt!$C$14='WK-Vorlagen'!$C$82))+(Deckblatt!$C$14&lt;&gt;'WK-Vorlagen'!$C$82),"",IF(ISERROR(MATCH(VALUE(MID(G378,1,2)),Schwierigkeitsstufen!$G$7:$G$19,0)),"Gerät falsch",LOOKUP(VALUE(MID(G378,1,2)),Schwierigkeitsstufen!$G$7:$G$19,Schwierigkeitsstufen!$H$7:$H$19)))</f>
        <v/>
      </c>
      <c r="AB378" s="250" t="str">
        <f>IF((($A378="")*($B378=""))+((MID($Y378,1,4)&lt;&gt;"Wahl")*(Deckblatt!$C$14='WK-Vorlagen'!$C$82))+(Deckblatt!$C$14&lt;&gt;'WK-Vorlagen'!$C$82),"",IF(ISERROR(MATCH(VALUE(MID(H378,1,2)),Schwierigkeitsstufen!$G$7:$G$19,0)),"Gerät falsch",LOOKUP(VALUE(MID(H378,1,2)),Schwierigkeitsstufen!$G$7:$G$19,Schwierigkeitsstufen!$H$7:$H$19)))</f>
        <v/>
      </c>
      <c r="AC378" s="250" t="str">
        <f>IF((($A378="")*($B378=""))+((MID($Y378,1,4)&lt;&gt;"Wahl")*(Deckblatt!$C$14='WK-Vorlagen'!$C$82))+(Deckblatt!$C$14&lt;&gt;'WK-Vorlagen'!$C$82),"",IF(ISERROR(MATCH(VALUE(MID(I378,1,2)),Schwierigkeitsstufen!$G$7:$G$19,0)),"Gerät falsch",LOOKUP(VALUE(MID(I378,1,2)),Schwierigkeitsstufen!$G$7:$G$19,Schwierigkeitsstufen!$H$7:$H$19)))</f>
        <v/>
      </c>
      <c r="AD378" s="251" t="str">
        <f>IF((($A378="")*($B378=""))+((MID($Y378,1,4)&lt;&gt;"Wahl")*(Deckblatt!$C$14='WK-Vorlagen'!$C$82))+(Deckblatt!$C$14&lt;&gt;'WK-Vorlagen'!$C$82),"",IF(ISERROR(MATCH(VALUE(MID(J378,1,2)),Schwierigkeitsstufen!$G$7:$G$19,0)),"Gerät falsch",LOOKUP(VALUE(MID(J378,1,2)),Schwierigkeitsstufen!$G$7:$G$19,Schwierigkeitsstufen!$H$7:$H$19)))</f>
        <v/>
      </c>
      <c r="AE378" s="211"/>
      <c r="AG378" s="221" t="str">
        <f t="shared" si="45"/>
        <v/>
      </c>
      <c r="AH378" s="222" t="str">
        <f t="shared" si="47"/>
        <v/>
      </c>
      <c r="AI378" s="220">
        <f t="shared" si="52"/>
        <v>4</v>
      </c>
      <c r="AJ378" s="222">
        <f t="shared" si="48"/>
        <v>0</v>
      </c>
      <c r="AK378" s="299" t="str">
        <f>IF(ISERROR(LOOKUP(E378,WKNrListe,Übersicht!$R$7:$R$46)),"-",LOOKUP(E378,WKNrListe,Übersicht!$R$7:$R$46))</f>
        <v>-</v>
      </c>
      <c r="AL378" s="299" t="str">
        <f t="shared" si="51"/>
        <v>-</v>
      </c>
      <c r="AM378" s="303"/>
      <c r="AN378" s="174" t="str">
        <f t="shared" si="53"/>
        <v>Leer</v>
      </c>
    </row>
    <row r="379" spans="1:40" s="174" customFormat="1" ht="15" customHeight="1">
      <c r="A379" s="63"/>
      <c r="B379" s="63"/>
      <c r="C379" s="84"/>
      <c r="D379" s="85"/>
      <c r="E379" s="62"/>
      <c r="F379" s="62"/>
      <c r="G379" s="62"/>
      <c r="H379" s="62"/>
      <c r="I379" s="62"/>
      <c r="J379" s="62"/>
      <c r="K379" s="62"/>
      <c r="L379" s="62"/>
      <c r="M379" s="62"/>
      <c r="N379" s="62"/>
      <c r="O379" s="62"/>
      <c r="P379" s="62"/>
      <c r="Q379" s="62"/>
      <c r="R379" s="62"/>
      <c r="S379" s="258"/>
      <c r="T379" s="248" t="str">
        <f t="shared" si="49"/>
        <v/>
      </c>
      <c r="U379" s="249" t="str">
        <f t="shared" si="50"/>
        <v/>
      </c>
      <c r="V379" s="294" t="str">
        <f t="shared" si="46"/>
        <v/>
      </c>
      <c r="W379" s="294" t="str">
        <f>IF(((E379="")+(F379="")),"",IF(VLOOKUP(F379,Mannschaften!$A$1:$B$54,2,FALSE)&lt;&gt;E379,"Reiter Mannschaften füllen",""))</f>
        <v/>
      </c>
      <c r="X379" s="248" t="str">
        <f>IF(ISBLANK(C379),"",IF((U379&gt;(LOOKUP(E379,WKNrListe,Übersicht!$O$7:$O$46)))+(U379&lt;(LOOKUP(E379,WKNrListe,Übersicht!$P$7:$P$46))),"JG falsch",""))</f>
        <v/>
      </c>
      <c r="Y379" s="255" t="str">
        <f>IF((A379="")*(B379=""),"",IF(ISERROR(MATCH(E379,WKNrListe,0)),"WK falsch",LOOKUP(E379,WKNrListe,Übersicht!$B$7:$B$46)))</f>
        <v/>
      </c>
      <c r="Z379" s="269" t="str">
        <f>IF(((AJ379=0)*(AH379&lt;&gt;"")*(AK379="-"))+((AJ379&lt;&gt;0)*(AH379&lt;&gt;"")*(AK379="-")),IF(AG379="X",Übersicht!$C$70,Übersicht!$C$69),"-")</f>
        <v>-</v>
      </c>
      <c r="AA379" s="252" t="str">
        <f>IF((($A379="")*($B379=""))+((MID($Y379,1,4)&lt;&gt;"Wahl")*(Deckblatt!$C$14='WK-Vorlagen'!$C$82))+(Deckblatt!$C$14&lt;&gt;'WK-Vorlagen'!$C$82),"",IF(ISERROR(MATCH(VALUE(MID(G379,1,2)),Schwierigkeitsstufen!$G$7:$G$19,0)),"Gerät falsch",LOOKUP(VALUE(MID(G379,1,2)),Schwierigkeitsstufen!$G$7:$G$19,Schwierigkeitsstufen!$H$7:$H$19)))</f>
        <v/>
      </c>
      <c r="AB379" s="250" t="str">
        <f>IF((($A379="")*($B379=""))+((MID($Y379,1,4)&lt;&gt;"Wahl")*(Deckblatt!$C$14='WK-Vorlagen'!$C$82))+(Deckblatt!$C$14&lt;&gt;'WK-Vorlagen'!$C$82),"",IF(ISERROR(MATCH(VALUE(MID(H379,1,2)),Schwierigkeitsstufen!$G$7:$G$19,0)),"Gerät falsch",LOOKUP(VALUE(MID(H379,1,2)),Schwierigkeitsstufen!$G$7:$G$19,Schwierigkeitsstufen!$H$7:$H$19)))</f>
        <v/>
      </c>
      <c r="AC379" s="250" t="str">
        <f>IF((($A379="")*($B379=""))+((MID($Y379,1,4)&lt;&gt;"Wahl")*(Deckblatt!$C$14='WK-Vorlagen'!$C$82))+(Deckblatt!$C$14&lt;&gt;'WK-Vorlagen'!$C$82),"",IF(ISERROR(MATCH(VALUE(MID(I379,1,2)),Schwierigkeitsstufen!$G$7:$G$19,0)),"Gerät falsch",LOOKUP(VALUE(MID(I379,1,2)),Schwierigkeitsstufen!$G$7:$G$19,Schwierigkeitsstufen!$H$7:$H$19)))</f>
        <v/>
      </c>
      <c r="AD379" s="251" t="str">
        <f>IF((($A379="")*($B379=""))+((MID($Y379,1,4)&lt;&gt;"Wahl")*(Deckblatt!$C$14='WK-Vorlagen'!$C$82))+(Deckblatt!$C$14&lt;&gt;'WK-Vorlagen'!$C$82),"",IF(ISERROR(MATCH(VALUE(MID(J379,1,2)),Schwierigkeitsstufen!$G$7:$G$19,0)),"Gerät falsch",LOOKUP(VALUE(MID(J379,1,2)),Schwierigkeitsstufen!$G$7:$G$19,Schwierigkeitsstufen!$H$7:$H$19)))</f>
        <v/>
      </c>
      <c r="AE379" s="211"/>
      <c r="AG379" s="221" t="str">
        <f t="shared" si="45"/>
        <v/>
      </c>
      <c r="AH379" s="222" t="str">
        <f t="shared" si="47"/>
        <v/>
      </c>
      <c r="AI379" s="220">
        <f t="shared" si="52"/>
        <v>4</v>
      </c>
      <c r="AJ379" s="222">
        <f t="shared" si="48"/>
        <v>0</v>
      </c>
      <c r="AK379" s="299" t="str">
        <f>IF(ISERROR(LOOKUP(E379,WKNrListe,Übersicht!$R$7:$R$46)),"-",LOOKUP(E379,WKNrListe,Übersicht!$R$7:$R$46))</f>
        <v>-</v>
      </c>
      <c r="AL379" s="299" t="str">
        <f t="shared" si="51"/>
        <v>-</v>
      </c>
      <c r="AM379" s="303"/>
      <c r="AN379" s="174" t="str">
        <f t="shared" si="53"/>
        <v>Leer</v>
      </c>
    </row>
    <row r="380" spans="1:40" s="174" customFormat="1" ht="15" customHeight="1">
      <c r="A380" s="63"/>
      <c r="B380" s="63"/>
      <c r="C380" s="84"/>
      <c r="D380" s="85"/>
      <c r="E380" s="62"/>
      <c r="F380" s="62"/>
      <c r="G380" s="62"/>
      <c r="H380" s="62"/>
      <c r="I380" s="62"/>
      <c r="J380" s="62"/>
      <c r="K380" s="62"/>
      <c r="L380" s="62"/>
      <c r="M380" s="62"/>
      <c r="N380" s="62"/>
      <c r="O380" s="62"/>
      <c r="P380" s="62"/>
      <c r="Q380" s="62"/>
      <c r="R380" s="62"/>
      <c r="S380" s="258"/>
      <c r="T380" s="248" t="str">
        <f t="shared" si="49"/>
        <v/>
      </c>
      <c r="U380" s="249" t="str">
        <f t="shared" si="50"/>
        <v/>
      </c>
      <c r="V380" s="294" t="str">
        <f t="shared" si="46"/>
        <v/>
      </c>
      <c r="W380" s="294" t="str">
        <f>IF(((E380="")+(F380="")),"",IF(VLOOKUP(F380,Mannschaften!$A$1:$B$54,2,FALSE)&lt;&gt;E380,"Reiter Mannschaften füllen",""))</f>
        <v/>
      </c>
      <c r="X380" s="248" t="str">
        <f>IF(ISBLANK(C380),"",IF((U380&gt;(LOOKUP(E380,WKNrListe,Übersicht!$O$7:$O$46)))+(U380&lt;(LOOKUP(E380,WKNrListe,Übersicht!$P$7:$P$46))),"JG falsch",""))</f>
        <v/>
      </c>
      <c r="Y380" s="255" t="str">
        <f>IF((A380="")*(B380=""),"",IF(ISERROR(MATCH(E380,WKNrListe,0)),"WK falsch",LOOKUP(E380,WKNrListe,Übersicht!$B$7:$B$46)))</f>
        <v/>
      </c>
      <c r="Z380" s="269" t="str">
        <f>IF(((AJ380=0)*(AH380&lt;&gt;"")*(AK380="-"))+((AJ380&lt;&gt;0)*(AH380&lt;&gt;"")*(AK380="-")),IF(AG380="X",Übersicht!$C$70,Übersicht!$C$69),"-")</f>
        <v>-</v>
      </c>
      <c r="AA380" s="252" t="str">
        <f>IF((($A380="")*($B380=""))+((MID($Y380,1,4)&lt;&gt;"Wahl")*(Deckblatt!$C$14='WK-Vorlagen'!$C$82))+(Deckblatt!$C$14&lt;&gt;'WK-Vorlagen'!$C$82),"",IF(ISERROR(MATCH(VALUE(MID(G380,1,2)),Schwierigkeitsstufen!$G$7:$G$19,0)),"Gerät falsch",LOOKUP(VALUE(MID(G380,1,2)),Schwierigkeitsstufen!$G$7:$G$19,Schwierigkeitsstufen!$H$7:$H$19)))</f>
        <v/>
      </c>
      <c r="AB380" s="250" t="str">
        <f>IF((($A380="")*($B380=""))+((MID($Y380,1,4)&lt;&gt;"Wahl")*(Deckblatt!$C$14='WK-Vorlagen'!$C$82))+(Deckblatt!$C$14&lt;&gt;'WK-Vorlagen'!$C$82),"",IF(ISERROR(MATCH(VALUE(MID(H380,1,2)),Schwierigkeitsstufen!$G$7:$G$19,0)),"Gerät falsch",LOOKUP(VALUE(MID(H380,1,2)),Schwierigkeitsstufen!$G$7:$G$19,Schwierigkeitsstufen!$H$7:$H$19)))</f>
        <v/>
      </c>
      <c r="AC380" s="250" t="str">
        <f>IF((($A380="")*($B380=""))+((MID($Y380,1,4)&lt;&gt;"Wahl")*(Deckblatt!$C$14='WK-Vorlagen'!$C$82))+(Deckblatt!$C$14&lt;&gt;'WK-Vorlagen'!$C$82),"",IF(ISERROR(MATCH(VALUE(MID(I380,1,2)),Schwierigkeitsstufen!$G$7:$G$19,0)),"Gerät falsch",LOOKUP(VALUE(MID(I380,1,2)),Schwierigkeitsstufen!$G$7:$G$19,Schwierigkeitsstufen!$H$7:$H$19)))</f>
        <v/>
      </c>
      <c r="AD380" s="251" t="str">
        <f>IF((($A380="")*($B380=""))+((MID($Y380,1,4)&lt;&gt;"Wahl")*(Deckblatt!$C$14='WK-Vorlagen'!$C$82))+(Deckblatt!$C$14&lt;&gt;'WK-Vorlagen'!$C$82),"",IF(ISERROR(MATCH(VALUE(MID(J380,1,2)),Schwierigkeitsstufen!$G$7:$G$19,0)),"Gerät falsch",LOOKUP(VALUE(MID(J380,1,2)),Schwierigkeitsstufen!$G$7:$G$19,Schwierigkeitsstufen!$H$7:$H$19)))</f>
        <v/>
      </c>
      <c r="AE380" s="211"/>
      <c r="AG380" s="221" t="str">
        <f t="shared" si="45"/>
        <v/>
      </c>
      <c r="AH380" s="222" t="str">
        <f t="shared" si="47"/>
        <v/>
      </c>
      <c r="AI380" s="220">
        <f t="shared" si="52"/>
        <v>4</v>
      </c>
      <c r="AJ380" s="222">
        <f t="shared" si="48"/>
        <v>0</v>
      </c>
      <c r="AK380" s="299" t="str">
        <f>IF(ISERROR(LOOKUP(E380,WKNrListe,Übersicht!$R$7:$R$46)),"-",LOOKUP(E380,WKNrListe,Übersicht!$R$7:$R$46))</f>
        <v>-</v>
      </c>
      <c r="AL380" s="299" t="str">
        <f t="shared" si="51"/>
        <v>-</v>
      </c>
      <c r="AM380" s="303"/>
      <c r="AN380" s="174" t="str">
        <f t="shared" si="53"/>
        <v>Leer</v>
      </c>
    </row>
    <row r="381" spans="1:40" s="174" customFormat="1" ht="15" customHeight="1">
      <c r="A381" s="63"/>
      <c r="B381" s="63"/>
      <c r="C381" s="84"/>
      <c r="D381" s="85"/>
      <c r="E381" s="62"/>
      <c r="F381" s="62"/>
      <c r="G381" s="62"/>
      <c r="H381" s="62"/>
      <c r="I381" s="62"/>
      <c r="J381" s="62"/>
      <c r="K381" s="62"/>
      <c r="L381" s="62"/>
      <c r="M381" s="62"/>
      <c r="N381" s="62"/>
      <c r="O381" s="62"/>
      <c r="P381" s="62"/>
      <c r="Q381" s="62"/>
      <c r="R381" s="62"/>
      <c r="S381" s="258"/>
      <c r="T381" s="248" t="str">
        <f t="shared" si="49"/>
        <v/>
      </c>
      <c r="U381" s="249" t="str">
        <f t="shared" si="50"/>
        <v/>
      </c>
      <c r="V381" s="294" t="str">
        <f t="shared" si="46"/>
        <v/>
      </c>
      <c r="W381" s="294" t="str">
        <f>IF(((E381="")+(F381="")),"",IF(VLOOKUP(F381,Mannschaften!$A$1:$B$54,2,FALSE)&lt;&gt;E381,"Reiter Mannschaften füllen",""))</f>
        <v/>
      </c>
      <c r="X381" s="248" t="str">
        <f>IF(ISBLANK(C381),"",IF((U381&gt;(LOOKUP(E381,WKNrListe,Übersicht!$O$7:$O$46)))+(U381&lt;(LOOKUP(E381,WKNrListe,Übersicht!$P$7:$P$46))),"JG falsch",""))</f>
        <v/>
      </c>
      <c r="Y381" s="255" t="str">
        <f>IF((A381="")*(B381=""),"",IF(ISERROR(MATCH(E381,WKNrListe,0)),"WK falsch",LOOKUP(E381,WKNrListe,Übersicht!$B$7:$B$46)))</f>
        <v/>
      </c>
      <c r="Z381" s="269" t="str">
        <f>IF(((AJ381=0)*(AH381&lt;&gt;"")*(AK381="-"))+((AJ381&lt;&gt;0)*(AH381&lt;&gt;"")*(AK381="-")),IF(AG381="X",Übersicht!$C$70,Übersicht!$C$69),"-")</f>
        <v>-</v>
      </c>
      <c r="AA381" s="252" t="str">
        <f>IF((($A381="")*($B381=""))+((MID($Y381,1,4)&lt;&gt;"Wahl")*(Deckblatt!$C$14='WK-Vorlagen'!$C$82))+(Deckblatt!$C$14&lt;&gt;'WK-Vorlagen'!$C$82),"",IF(ISERROR(MATCH(VALUE(MID(G381,1,2)),Schwierigkeitsstufen!$G$7:$G$19,0)),"Gerät falsch",LOOKUP(VALUE(MID(G381,1,2)),Schwierigkeitsstufen!$G$7:$G$19,Schwierigkeitsstufen!$H$7:$H$19)))</f>
        <v/>
      </c>
      <c r="AB381" s="250" t="str">
        <f>IF((($A381="")*($B381=""))+((MID($Y381,1,4)&lt;&gt;"Wahl")*(Deckblatt!$C$14='WK-Vorlagen'!$C$82))+(Deckblatt!$C$14&lt;&gt;'WK-Vorlagen'!$C$82),"",IF(ISERROR(MATCH(VALUE(MID(H381,1,2)),Schwierigkeitsstufen!$G$7:$G$19,0)),"Gerät falsch",LOOKUP(VALUE(MID(H381,1,2)),Schwierigkeitsstufen!$G$7:$G$19,Schwierigkeitsstufen!$H$7:$H$19)))</f>
        <v/>
      </c>
      <c r="AC381" s="250" t="str">
        <f>IF((($A381="")*($B381=""))+((MID($Y381,1,4)&lt;&gt;"Wahl")*(Deckblatt!$C$14='WK-Vorlagen'!$C$82))+(Deckblatt!$C$14&lt;&gt;'WK-Vorlagen'!$C$82),"",IF(ISERROR(MATCH(VALUE(MID(I381,1,2)),Schwierigkeitsstufen!$G$7:$G$19,0)),"Gerät falsch",LOOKUP(VALUE(MID(I381,1,2)),Schwierigkeitsstufen!$G$7:$G$19,Schwierigkeitsstufen!$H$7:$H$19)))</f>
        <v/>
      </c>
      <c r="AD381" s="251" t="str">
        <f>IF((($A381="")*($B381=""))+((MID($Y381,1,4)&lt;&gt;"Wahl")*(Deckblatt!$C$14='WK-Vorlagen'!$C$82))+(Deckblatt!$C$14&lt;&gt;'WK-Vorlagen'!$C$82),"",IF(ISERROR(MATCH(VALUE(MID(J381,1,2)),Schwierigkeitsstufen!$G$7:$G$19,0)),"Gerät falsch",LOOKUP(VALUE(MID(J381,1,2)),Schwierigkeitsstufen!$G$7:$G$19,Schwierigkeitsstufen!$H$7:$H$19)))</f>
        <v/>
      </c>
      <c r="AE381" s="211"/>
      <c r="AG381" s="221" t="str">
        <f t="shared" si="45"/>
        <v/>
      </c>
      <c r="AH381" s="222" t="str">
        <f t="shared" si="47"/>
        <v/>
      </c>
      <c r="AI381" s="220">
        <f t="shared" si="52"/>
        <v>4</v>
      </c>
      <c r="AJ381" s="222">
        <f t="shared" si="48"/>
        <v>0</v>
      </c>
      <c r="AK381" s="299" t="str">
        <f>IF(ISERROR(LOOKUP(E381,WKNrListe,Übersicht!$R$7:$R$46)),"-",LOOKUP(E381,WKNrListe,Übersicht!$R$7:$R$46))</f>
        <v>-</v>
      </c>
      <c r="AL381" s="299" t="str">
        <f t="shared" si="51"/>
        <v>-</v>
      </c>
      <c r="AM381" s="303"/>
      <c r="AN381" s="174" t="str">
        <f t="shared" si="53"/>
        <v>Leer</v>
      </c>
    </row>
    <row r="382" spans="1:40" s="174" customFormat="1" ht="15" customHeight="1">
      <c r="A382" s="63"/>
      <c r="B382" s="63"/>
      <c r="C382" s="84"/>
      <c r="D382" s="85"/>
      <c r="E382" s="62"/>
      <c r="F382" s="62"/>
      <c r="G382" s="62"/>
      <c r="H382" s="62"/>
      <c r="I382" s="62"/>
      <c r="J382" s="62"/>
      <c r="K382" s="62"/>
      <c r="L382" s="62"/>
      <c r="M382" s="62"/>
      <c r="N382" s="62"/>
      <c r="O382" s="62"/>
      <c r="P382" s="62"/>
      <c r="Q382" s="62"/>
      <c r="R382" s="62"/>
      <c r="S382" s="258"/>
      <c r="T382" s="248" t="str">
        <f t="shared" si="49"/>
        <v/>
      </c>
      <c r="U382" s="249" t="str">
        <f t="shared" si="50"/>
        <v/>
      </c>
      <c r="V382" s="294" t="str">
        <f t="shared" si="46"/>
        <v/>
      </c>
      <c r="W382" s="294" t="str">
        <f>IF(((E382="")+(F382="")),"",IF(VLOOKUP(F382,Mannschaften!$A$1:$B$54,2,FALSE)&lt;&gt;E382,"Reiter Mannschaften füllen",""))</f>
        <v/>
      </c>
      <c r="X382" s="248" t="str">
        <f>IF(ISBLANK(C382),"",IF((U382&gt;(LOOKUP(E382,WKNrListe,Übersicht!$O$7:$O$46)))+(U382&lt;(LOOKUP(E382,WKNrListe,Übersicht!$P$7:$P$46))),"JG falsch",""))</f>
        <v/>
      </c>
      <c r="Y382" s="255" t="str">
        <f>IF((A382="")*(B382=""),"",IF(ISERROR(MATCH(E382,WKNrListe,0)),"WK falsch",LOOKUP(E382,WKNrListe,Übersicht!$B$7:$B$46)))</f>
        <v/>
      </c>
      <c r="Z382" s="269" t="str">
        <f>IF(((AJ382=0)*(AH382&lt;&gt;"")*(AK382="-"))+((AJ382&lt;&gt;0)*(AH382&lt;&gt;"")*(AK382="-")),IF(AG382="X",Übersicht!$C$70,Übersicht!$C$69),"-")</f>
        <v>-</v>
      </c>
      <c r="AA382" s="252" t="str">
        <f>IF((($A382="")*($B382=""))+((MID($Y382,1,4)&lt;&gt;"Wahl")*(Deckblatt!$C$14='WK-Vorlagen'!$C$82))+(Deckblatt!$C$14&lt;&gt;'WK-Vorlagen'!$C$82),"",IF(ISERROR(MATCH(VALUE(MID(G382,1,2)),Schwierigkeitsstufen!$G$7:$G$19,0)),"Gerät falsch",LOOKUP(VALUE(MID(G382,1,2)),Schwierigkeitsstufen!$G$7:$G$19,Schwierigkeitsstufen!$H$7:$H$19)))</f>
        <v/>
      </c>
      <c r="AB382" s="250" t="str">
        <f>IF((($A382="")*($B382=""))+((MID($Y382,1,4)&lt;&gt;"Wahl")*(Deckblatt!$C$14='WK-Vorlagen'!$C$82))+(Deckblatt!$C$14&lt;&gt;'WK-Vorlagen'!$C$82),"",IF(ISERROR(MATCH(VALUE(MID(H382,1,2)),Schwierigkeitsstufen!$G$7:$G$19,0)),"Gerät falsch",LOOKUP(VALUE(MID(H382,1,2)),Schwierigkeitsstufen!$G$7:$G$19,Schwierigkeitsstufen!$H$7:$H$19)))</f>
        <v/>
      </c>
      <c r="AC382" s="250" t="str">
        <f>IF((($A382="")*($B382=""))+((MID($Y382,1,4)&lt;&gt;"Wahl")*(Deckblatt!$C$14='WK-Vorlagen'!$C$82))+(Deckblatt!$C$14&lt;&gt;'WK-Vorlagen'!$C$82),"",IF(ISERROR(MATCH(VALUE(MID(I382,1,2)),Schwierigkeitsstufen!$G$7:$G$19,0)),"Gerät falsch",LOOKUP(VALUE(MID(I382,1,2)),Schwierigkeitsstufen!$G$7:$G$19,Schwierigkeitsstufen!$H$7:$H$19)))</f>
        <v/>
      </c>
      <c r="AD382" s="251" t="str">
        <f>IF((($A382="")*($B382=""))+((MID($Y382,1,4)&lt;&gt;"Wahl")*(Deckblatt!$C$14='WK-Vorlagen'!$C$82))+(Deckblatt!$C$14&lt;&gt;'WK-Vorlagen'!$C$82),"",IF(ISERROR(MATCH(VALUE(MID(J382,1,2)),Schwierigkeitsstufen!$G$7:$G$19,0)),"Gerät falsch",LOOKUP(VALUE(MID(J382,1,2)),Schwierigkeitsstufen!$G$7:$G$19,Schwierigkeitsstufen!$H$7:$H$19)))</f>
        <v/>
      </c>
      <c r="AE382" s="211"/>
      <c r="AG382" s="221" t="str">
        <f t="shared" si="45"/>
        <v/>
      </c>
      <c r="AH382" s="222" t="str">
        <f t="shared" si="47"/>
        <v/>
      </c>
      <c r="AI382" s="220">
        <f t="shared" si="52"/>
        <v>4</v>
      </c>
      <c r="AJ382" s="222">
        <f t="shared" si="48"/>
        <v>0</v>
      </c>
      <c r="AK382" s="299" t="str">
        <f>IF(ISERROR(LOOKUP(E382,WKNrListe,Übersicht!$R$7:$R$46)),"-",LOOKUP(E382,WKNrListe,Übersicht!$R$7:$R$46))</f>
        <v>-</v>
      </c>
      <c r="AL382" s="299" t="str">
        <f t="shared" si="51"/>
        <v>-</v>
      </c>
      <c r="AM382" s="303"/>
      <c r="AN382" s="174" t="str">
        <f t="shared" si="53"/>
        <v>Leer</v>
      </c>
    </row>
    <row r="383" spans="1:40" s="174" customFormat="1" ht="15" customHeight="1">
      <c r="A383" s="63"/>
      <c r="B383" s="63"/>
      <c r="C383" s="84"/>
      <c r="D383" s="85"/>
      <c r="E383" s="62"/>
      <c r="F383" s="62"/>
      <c r="G383" s="62"/>
      <c r="H383" s="62"/>
      <c r="I383" s="62"/>
      <c r="J383" s="62"/>
      <c r="K383" s="62"/>
      <c r="L383" s="62"/>
      <c r="M383" s="62"/>
      <c r="N383" s="62"/>
      <c r="O383" s="62"/>
      <c r="P383" s="62"/>
      <c r="Q383" s="62"/>
      <c r="R383" s="62"/>
      <c r="S383" s="258"/>
      <c r="T383" s="248" t="str">
        <f t="shared" si="49"/>
        <v/>
      </c>
      <c r="U383" s="249" t="str">
        <f t="shared" si="50"/>
        <v/>
      </c>
      <c r="V383" s="294" t="str">
        <f t="shared" si="46"/>
        <v/>
      </c>
      <c r="W383" s="294" t="str">
        <f>IF(((E383="")+(F383="")),"",IF(VLOOKUP(F383,Mannschaften!$A$1:$B$54,2,FALSE)&lt;&gt;E383,"Reiter Mannschaften füllen",""))</f>
        <v/>
      </c>
      <c r="X383" s="248" t="str">
        <f>IF(ISBLANK(C383),"",IF((U383&gt;(LOOKUP(E383,WKNrListe,Übersicht!$O$7:$O$46)))+(U383&lt;(LOOKUP(E383,WKNrListe,Übersicht!$P$7:$P$46))),"JG falsch",""))</f>
        <v/>
      </c>
      <c r="Y383" s="255" t="str">
        <f>IF((A383="")*(B383=""),"",IF(ISERROR(MATCH(E383,WKNrListe,0)),"WK falsch",LOOKUP(E383,WKNrListe,Übersicht!$B$7:$B$46)))</f>
        <v/>
      </c>
      <c r="Z383" s="269" t="str">
        <f>IF(((AJ383=0)*(AH383&lt;&gt;"")*(AK383="-"))+((AJ383&lt;&gt;0)*(AH383&lt;&gt;"")*(AK383="-")),IF(AG383="X",Übersicht!$C$70,Übersicht!$C$69),"-")</f>
        <v>-</v>
      </c>
      <c r="AA383" s="252" t="str">
        <f>IF((($A383="")*($B383=""))+((MID($Y383,1,4)&lt;&gt;"Wahl")*(Deckblatt!$C$14='WK-Vorlagen'!$C$82))+(Deckblatt!$C$14&lt;&gt;'WK-Vorlagen'!$C$82),"",IF(ISERROR(MATCH(VALUE(MID(G383,1,2)),Schwierigkeitsstufen!$G$7:$G$19,0)),"Gerät falsch",LOOKUP(VALUE(MID(G383,1,2)),Schwierigkeitsstufen!$G$7:$G$19,Schwierigkeitsstufen!$H$7:$H$19)))</f>
        <v/>
      </c>
      <c r="AB383" s="250" t="str">
        <f>IF((($A383="")*($B383=""))+((MID($Y383,1,4)&lt;&gt;"Wahl")*(Deckblatt!$C$14='WK-Vorlagen'!$C$82))+(Deckblatt!$C$14&lt;&gt;'WK-Vorlagen'!$C$82),"",IF(ISERROR(MATCH(VALUE(MID(H383,1,2)),Schwierigkeitsstufen!$G$7:$G$19,0)),"Gerät falsch",LOOKUP(VALUE(MID(H383,1,2)),Schwierigkeitsstufen!$G$7:$G$19,Schwierigkeitsstufen!$H$7:$H$19)))</f>
        <v/>
      </c>
      <c r="AC383" s="250" t="str">
        <f>IF((($A383="")*($B383=""))+((MID($Y383,1,4)&lt;&gt;"Wahl")*(Deckblatt!$C$14='WK-Vorlagen'!$C$82))+(Deckblatt!$C$14&lt;&gt;'WK-Vorlagen'!$C$82),"",IF(ISERROR(MATCH(VALUE(MID(I383,1,2)),Schwierigkeitsstufen!$G$7:$G$19,0)),"Gerät falsch",LOOKUP(VALUE(MID(I383,1,2)),Schwierigkeitsstufen!$G$7:$G$19,Schwierigkeitsstufen!$H$7:$H$19)))</f>
        <v/>
      </c>
      <c r="AD383" s="251" t="str">
        <f>IF((($A383="")*($B383=""))+((MID($Y383,1,4)&lt;&gt;"Wahl")*(Deckblatt!$C$14='WK-Vorlagen'!$C$82))+(Deckblatt!$C$14&lt;&gt;'WK-Vorlagen'!$C$82),"",IF(ISERROR(MATCH(VALUE(MID(J383,1,2)),Schwierigkeitsstufen!$G$7:$G$19,0)),"Gerät falsch",LOOKUP(VALUE(MID(J383,1,2)),Schwierigkeitsstufen!$G$7:$G$19,Schwierigkeitsstufen!$H$7:$H$19)))</f>
        <v/>
      </c>
      <c r="AE383" s="211"/>
      <c r="AG383" s="221" t="str">
        <f t="shared" si="45"/>
        <v/>
      </c>
      <c r="AH383" s="222" t="str">
        <f t="shared" si="47"/>
        <v/>
      </c>
      <c r="AI383" s="220">
        <f t="shared" si="52"/>
        <v>4</v>
      </c>
      <c r="AJ383" s="222">
        <f t="shared" si="48"/>
        <v>0</v>
      </c>
      <c r="AK383" s="299" t="str">
        <f>IF(ISERROR(LOOKUP(E383,WKNrListe,Übersicht!$R$7:$R$46)),"-",LOOKUP(E383,WKNrListe,Übersicht!$R$7:$R$46))</f>
        <v>-</v>
      </c>
      <c r="AL383" s="299" t="str">
        <f t="shared" si="51"/>
        <v>-</v>
      </c>
      <c r="AM383" s="303"/>
      <c r="AN383" s="174" t="str">
        <f t="shared" si="53"/>
        <v>Leer</v>
      </c>
    </row>
    <row r="384" spans="1:40" s="174" customFormat="1" ht="15" customHeight="1">
      <c r="A384" s="63"/>
      <c r="B384" s="63"/>
      <c r="C384" s="84"/>
      <c r="D384" s="85"/>
      <c r="E384" s="62"/>
      <c r="F384" s="62"/>
      <c r="G384" s="62"/>
      <c r="H384" s="62"/>
      <c r="I384" s="62"/>
      <c r="J384" s="62"/>
      <c r="K384" s="62"/>
      <c r="L384" s="62"/>
      <c r="M384" s="62"/>
      <c r="N384" s="62"/>
      <c r="O384" s="62"/>
      <c r="P384" s="62"/>
      <c r="Q384" s="62"/>
      <c r="R384" s="62"/>
      <c r="S384" s="258"/>
      <c r="T384" s="248" t="str">
        <f t="shared" si="49"/>
        <v/>
      </c>
      <c r="U384" s="249" t="str">
        <f t="shared" si="50"/>
        <v/>
      </c>
      <c r="V384" s="294" t="str">
        <f t="shared" si="46"/>
        <v/>
      </c>
      <c r="W384" s="294" t="str">
        <f>IF(((E384="")+(F384="")),"",IF(VLOOKUP(F384,Mannschaften!$A$1:$B$54,2,FALSE)&lt;&gt;E384,"Reiter Mannschaften füllen",""))</f>
        <v/>
      </c>
      <c r="X384" s="248" t="str">
        <f>IF(ISBLANK(C384),"",IF((U384&gt;(LOOKUP(E384,WKNrListe,Übersicht!$O$7:$O$46)))+(U384&lt;(LOOKUP(E384,WKNrListe,Übersicht!$P$7:$P$46))),"JG falsch",""))</f>
        <v/>
      </c>
      <c r="Y384" s="255" t="str">
        <f>IF((A384="")*(B384=""),"",IF(ISERROR(MATCH(E384,WKNrListe,0)),"WK falsch",LOOKUP(E384,WKNrListe,Übersicht!$B$7:$B$46)))</f>
        <v/>
      </c>
      <c r="Z384" s="269" t="str">
        <f>IF(((AJ384=0)*(AH384&lt;&gt;"")*(AK384="-"))+((AJ384&lt;&gt;0)*(AH384&lt;&gt;"")*(AK384="-")),IF(AG384="X",Übersicht!$C$70,Übersicht!$C$69),"-")</f>
        <v>-</v>
      </c>
      <c r="AA384" s="252" t="str">
        <f>IF((($A384="")*($B384=""))+((MID($Y384,1,4)&lt;&gt;"Wahl")*(Deckblatt!$C$14='WK-Vorlagen'!$C$82))+(Deckblatt!$C$14&lt;&gt;'WK-Vorlagen'!$C$82),"",IF(ISERROR(MATCH(VALUE(MID(G384,1,2)),Schwierigkeitsstufen!$G$7:$G$19,0)),"Gerät falsch",LOOKUP(VALUE(MID(G384,1,2)),Schwierigkeitsstufen!$G$7:$G$19,Schwierigkeitsstufen!$H$7:$H$19)))</f>
        <v/>
      </c>
      <c r="AB384" s="250" t="str">
        <f>IF((($A384="")*($B384=""))+((MID($Y384,1,4)&lt;&gt;"Wahl")*(Deckblatt!$C$14='WK-Vorlagen'!$C$82))+(Deckblatt!$C$14&lt;&gt;'WK-Vorlagen'!$C$82),"",IF(ISERROR(MATCH(VALUE(MID(H384,1,2)),Schwierigkeitsstufen!$G$7:$G$19,0)),"Gerät falsch",LOOKUP(VALUE(MID(H384,1,2)),Schwierigkeitsstufen!$G$7:$G$19,Schwierigkeitsstufen!$H$7:$H$19)))</f>
        <v/>
      </c>
      <c r="AC384" s="250" t="str">
        <f>IF((($A384="")*($B384=""))+((MID($Y384,1,4)&lt;&gt;"Wahl")*(Deckblatt!$C$14='WK-Vorlagen'!$C$82))+(Deckblatt!$C$14&lt;&gt;'WK-Vorlagen'!$C$82),"",IF(ISERROR(MATCH(VALUE(MID(I384,1,2)),Schwierigkeitsstufen!$G$7:$G$19,0)),"Gerät falsch",LOOKUP(VALUE(MID(I384,1,2)),Schwierigkeitsstufen!$G$7:$G$19,Schwierigkeitsstufen!$H$7:$H$19)))</f>
        <v/>
      </c>
      <c r="AD384" s="251" t="str">
        <f>IF((($A384="")*($B384=""))+((MID($Y384,1,4)&lt;&gt;"Wahl")*(Deckblatt!$C$14='WK-Vorlagen'!$C$82))+(Deckblatt!$C$14&lt;&gt;'WK-Vorlagen'!$C$82),"",IF(ISERROR(MATCH(VALUE(MID(J384,1,2)),Schwierigkeitsstufen!$G$7:$G$19,0)),"Gerät falsch",LOOKUP(VALUE(MID(J384,1,2)),Schwierigkeitsstufen!$G$7:$G$19,Schwierigkeitsstufen!$H$7:$H$19)))</f>
        <v/>
      </c>
      <c r="AE384" s="211"/>
      <c r="AG384" s="221" t="str">
        <f t="shared" si="45"/>
        <v/>
      </c>
      <c r="AH384" s="222" t="str">
        <f t="shared" si="47"/>
        <v/>
      </c>
      <c r="AI384" s="220">
        <f t="shared" si="52"/>
        <v>4</v>
      </c>
      <c r="AJ384" s="222">
        <f t="shared" si="48"/>
        <v>0</v>
      </c>
      <c r="AK384" s="299" t="str">
        <f>IF(ISERROR(LOOKUP(E384,WKNrListe,Übersicht!$R$7:$R$46)),"-",LOOKUP(E384,WKNrListe,Übersicht!$R$7:$R$46))</f>
        <v>-</v>
      </c>
      <c r="AL384" s="299" t="str">
        <f t="shared" si="51"/>
        <v>-</v>
      </c>
      <c r="AM384" s="303"/>
      <c r="AN384" s="174" t="str">
        <f t="shared" si="53"/>
        <v>Leer</v>
      </c>
    </row>
    <row r="385" spans="1:40" s="174" customFormat="1" ht="15" customHeight="1">
      <c r="A385" s="63"/>
      <c r="B385" s="63"/>
      <c r="C385" s="84"/>
      <c r="D385" s="85"/>
      <c r="E385" s="62"/>
      <c r="F385" s="62"/>
      <c r="G385" s="62"/>
      <c r="H385" s="62"/>
      <c r="I385" s="62"/>
      <c r="J385" s="62"/>
      <c r="K385" s="62"/>
      <c r="L385" s="62"/>
      <c r="M385" s="62"/>
      <c r="N385" s="62"/>
      <c r="O385" s="62"/>
      <c r="P385" s="62"/>
      <c r="Q385" s="62"/>
      <c r="R385" s="62"/>
      <c r="S385" s="258"/>
      <c r="T385" s="248" t="str">
        <f t="shared" si="49"/>
        <v/>
      </c>
      <c r="U385" s="249" t="str">
        <f t="shared" si="50"/>
        <v/>
      </c>
      <c r="V385" s="294" t="str">
        <f t="shared" si="46"/>
        <v/>
      </c>
      <c r="W385" s="294" t="str">
        <f>IF(((E385="")+(F385="")),"",IF(VLOOKUP(F385,Mannschaften!$A$1:$B$54,2,FALSE)&lt;&gt;E385,"Reiter Mannschaften füllen",""))</f>
        <v/>
      </c>
      <c r="X385" s="248" t="str">
        <f>IF(ISBLANK(C385),"",IF((U385&gt;(LOOKUP(E385,WKNrListe,Übersicht!$O$7:$O$46)))+(U385&lt;(LOOKUP(E385,WKNrListe,Übersicht!$P$7:$P$46))),"JG falsch",""))</f>
        <v/>
      </c>
      <c r="Y385" s="255" t="str">
        <f>IF((A385="")*(B385=""),"",IF(ISERROR(MATCH(E385,WKNrListe,0)),"WK falsch",LOOKUP(E385,WKNrListe,Übersicht!$B$7:$B$46)))</f>
        <v/>
      </c>
      <c r="Z385" s="269" t="str">
        <f>IF(((AJ385=0)*(AH385&lt;&gt;"")*(AK385="-"))+((AJ385&lt;&gt;0)*(AH385&lt;&gt;"")*(AK385="-")),IF(AG385="X",Übersicht!$C$70,Übersicht!$C$69),"-")</f>
        <v>-</v>
      </c>
      <c r="AA385" s="252" t="str">
        <f>IF((($A385="")*($B385=""))+((MID($Y385,1,4)&lt;&gt;"Wahl")*(Deckblatt!$C$14='WK-Vorlagen'!$C$82))+(Deckblatt!$C$14&lt;&gt;'WK-Vorlagen'!$C$82),"",IF(ISERROR(MATCH(VALUE(MID(G385,1,2)),Schwierigkeitsstufen!$G$7:$G$19,0)),"Gerät falsch",LOOKUP(VALUE(MID(G385,1,2)),Schwierigkeitsstufen!$G$7:$G$19,Schwierigkeitsstufen!$H$7:$H$19)))</f>
        <v/>
      </c>
      <c r="AB385" s="250" t="str">
        <f>IF((($A385="")*($B385=""))+((MID($Y385,1,4)&lt;&gt;"Wahl")*(Deckblatt!$C$14='WK-Vorlagen'!$C$82))+(Deckblatt!$C$14&lt;&gt;'WK-Vorlagen'!$C$82),"",IF(ISERROR(MATCH(VALUE(MID(H385,1,2)),Schwierigkeitsstufen!$G$7:$G$19,0)),"Gerät falsch",LOOKUP(VALUE(MID(H385,1,2)),Schwierigkeitsstufen!$G$7:$G$19,Schwierigkeitsstufen!$H$7:$H$19)))</f>
        <v/>
      </c>
      <c r="AC385" s="250" t="str">
        <f>IF((($A385="")*($B385=""))+((MID($Y385,1,4)&lt;&gt;"Wahl")*(Deckblatt!$C$14='WK-Vorlagen'!$C$82))+(Deckblatt!$C$14&lt;&gt;'WK-Vorlagen'!$C$82),"",IF(ISERROR(MATCH(VALUE(MID(I385,1,2)),Schwierigkeitsstufen!$G$7:$G$19,0)),"Gerät falsch",LOOKUP(VALUE(MID(I385,1,2)),Schwierigkeitsstufen!$G$7:$G$19,Schwierigkeitsstufen!$H$7:$H$19)))</f>
        <v/>
      </c>
      <c r="AD385" s="251" t="str">
        <f>IF((($A385="")*($B385=""))+((MID($Y385,1,4)&lt;&gt;"Wahl")*(Deckblatt!$C$14='WK-Vorlagen'!$C$82))+(Deckblatt!$C$14&lt;&gt;'WK-Vorlagen'!$C$82),"",IF(ISERROR(MATCH(VALUE(MID(J385,1,2)),Schwierigkeitsstufen!$G$7:$G$19,0)),"Gerät falsch",LOOKUP(VALUE(MID(J385,1,2)),Schwierigkeitsstufen!$G$7:$G$19,Schwierigkeitsstufen!$H$7:$H$19)))</f>
        <v/>
      </c>
      <c r="AE385" s="211"/>
      <c r="AG385" s="221" t="str">
        <f t="shared" si="45"/>
        <v/>
      </c>
      <c r="AH385" s="222" t="str">
        <f t="shared" si="47"/>
        <v/>
      </c>
      <c r="AI385" s="220">
        <f t="shared" si="52"/>
        <v>4</v>
      </c>
      <c r="AJ385" s="222">
        <f t="shared" si="48"/>
        <v>0</v>
      </c>
      <c r="AK385" s="299" t="str">
        <f>IF(ISERROR(LOOKUP(E385,WKNrListe,Übersicht!$R$7:$R$46)),"-",LOOKUP(E385,WKNrListe,Übersicht!$R$7:$R$46))</f>
        <v>-</v>
      </c>
      <c r="AL385" s="299" t="str">
        <f t="shared" si="51"/>
        <v>-</v>
      </c>
      <c r="AM385" s="303"/>
      <c r="AN385" s="174" t="str">
        <f t="shared" si="53"/>
        <v>Leer</v>
      </c>
    </row>
    <row r="386" spans="1:40" s="174" customFormat="1" ht="15" customHeight="1">
      <c r="A386" s="63"/>
      <c r="B386" s="63"/>
      <c r="C386" s="84"/>
      <c r="D386" s="85"/>
      <c r="E386" s="62"/>
      <c r="F386" s="62"/>
      <c r="G386" s="62"/>
      <c r="H386" s="62"/>
      <c r="I386" s="62"/>
      <c r="J386" s="62"/>
      <c r="K386" s="62"/>
      <c r="L386" s="62"/>
      <c r="M386" s="62"/>
      <c r="N386" s="62"/>
      <c r="O386" s="62"/>
      <c r="P386" s="62"/>
      <c r="Q386" s="62"/>
      <c r="R386" s="62"/>
      <c r="S386" s="258"/>
      <c r="T386" s="248" t="str">
        <f t="shared" si="49"/>
        <v/>
      </c>
      <c r="U386" s="249" t="str">
        <f t="shared" si="50"/>
        <v/>
      </c>
      <c r="V386" s="294" t="str">
        <f t="shared" si="46"/>
        <v/>
      </c>
      <c r="W386" s="294" t="str">
        <f>IF(((E386="")+(F386="")),"",IF(VLOOKUP(F386,Mannschaften!$A$1:$B$54,2,FALSE)&lt;&gt;E386,"Reiter Mannschaften füllen",""))</f>
        <v/>
      </c>
      <c r="X386" s="248" t="str">
        <f>IF(ISBLANK(C386),"",IF((U386&gt;(LOOKUP(E386,WKNrListe,Übersicht!$O$7:$O$46)))+(U386&lt;(LOOKUP(E386,WKNrListe,Übersicht!$P$7:$P$46))),"JG falsch",""))</f>
        <v/>
      </c>
      <c r="Y386" s="255" t="str">
        <f>IF((A386="")*(B386=""),"",IF(ISERROR(MATCH(E386,WKNrListe,0)),"WK falsch",LOOKUP(E386,WKNrListe,Übersicht!$B$7:$B$46)))</f>
        <v/>
      </c>
      <c r="Z386" s="269" t="str">
        <f>IF(((AJ386=0)*(AH386&lt;&gt;"")*(AK386="-"))+((AJ386&lt;&gt;0)*(AH386&lt;&gt;"")*(AK386="-")),IF(AG386="X",Übersicht!$C$70,Übersicht!$C$69),"-")</f>
        <v>-</v>
      </c>
      <c r="AA386" s="252" t="str">
        <f>IF((($A386="")*($B386=""))+((MID($Y386,1,4)&lt;&gt;"Wahl")*(Deckblatt!$C$14='WK-Vorlagen'!$C$82))+(Deckblatt!$C$14&lt;&gt;'WK-Vorlagen'!$C$82),"",IF(ISERROR(MATCH(VALUE(MID(G386,1,2)),Schwierigkeitsstufen!$G$7:$G$19,0)),"Gerät falsch",LOOKUP(VALUE(MID(G386,1,2)),Schwierigkeitsstufen!$G$7:$G$19,Schwierigkeitsstufen!$H$7:$H$19)))</f>
        <v/>
      </c>
      <c r="AB386" s="250" t="str">
        <f>IF((($A386="")*($B386=""))+((MID($Y386,1,4)&lt;&gt;"Wahl")*(Deckblatt!$C$14='WK-Vorlagen'!$C$82))+(Deckblatt!$C$14&lt;&gt;'WK-Vorlagen'!$C$82),"",IF(ISERROR(MATCH(VALUE(MID(H386,1,2)),Schwierigkeitsstufen!$G$7:$G$19,0)),"Gerät falsch",LOOKUP(VALUE(MID(H386,1,2)),Schwierigkeitsstufen!$G$7:$G$19,Schwierigkeitsstufen!$H$7:$H$19)))</f>
        <v/>
      </c>
      <c r="AC386" s="250" t="str">
        <f>IF((($A386="")*($B386=""))+((MID($Y386,1,4)&lt;&gt;"Wahl")*(Deckblatt!$C$14='WK-Vorlagen'!$C$82))+(Deckblatt!$C$14&lt;&gt;'WK-Vorlagen'!$C$82),"",IF(ISERROR(MATCH(VALUE(MID(I386,1,2)),Schwierigkeitsstufen!$G$7:$G$19,0)),"Gerät falsch",LOOKUP(VALUE(MID(I386,1,2)),Schwierigkeitsstufen!$G$7:$G$19,Schwierigkeitsstufen!$H$7:$H$19)))</f>
        <v/>
      </c>
      <c r="AD386" s="251" t="str">
        <f>IF((($A386="")*($B386=""))+((MID($Y386,1,4)&lt;&gt;"Wahl")*(Deckblatt!$C$14='WK-Vorlagen'!$C$82))+(Deckblatt!$C$14&lt;&gt;'WK-Vorlagen'!$C$82),"",IF(ISERROR(MATCH(VALUE(MID(J386,1,2)),Schwierigkeitsstufen!$G$7:$G$19,0)),"Gerät falsch",LOOKUP(VALUE(MID(J386,1,2)),Schwierigkeitsstufen!$G$7:$G$19,Schwierigkeitsstufen!$H$7:$H$19)))</f>
        <v/>
      </c>
      <c r="AE386" s="211"/>
      <c r="AG386" s="221" t="str">
        <f t="shared" si="45"/>
        <v/>
      </c>
      <c r="AH386" s="222" t="str">
        <f t="shared" si="47"/>
        <v/>
      </c>
      <c r="AI386" s="220">
        <f t="shared" si="52"/>
        <v>4</v>
      </c>
      <c r="AJ386" s="222">
        <f t="shared" si="48"/>
        <v>0</v>
      </c>
      <c r="AK386" s="299" t="str">
        <f>IF(ISERROR(LOOKUP(E386,WKNrListe,Übersicht!$R$7:$R$46)),"-",LOOKUP(E386,WKNrListe,Übersicht!$R$7:$R$46))</f>
        <v>-</v>
      </c>
      <c r="AL386" s="299" t="str">
        <f t="shared" si="51"/>
        <v>-</v>
      </c>
      <c r="AM386" s="303"/>
      <c r="AN386" s="174" t="str">
        <f t="shared" si="53"/>
        <v>Leer</v>
      </c>
    </row>
    <row r="387" spans="1:40" s="174" customFormat="1" ht="15" customHeight="1">
      <c r="A387" s="63"/>
      <c r="B387" s="63"/>
      <c r="C387" s="84"/>
      <c r="D387" s="85"/>
      <c r="E387" s="62"/>
      <c r="F387" s="62"/>
      <c r="G387" s="62"/>
      <c r="H387" s="62"/>
      <c r="I387" s="62"/>
      <c r="J387" s="62"/>
      <c r="K387" s="62"/>
      <c r="L387" s="62"/>
      <c r="M387" s="62"/>
      <c r="N387" s="62"/>
      <c r="O387" s="62"/>
      <c r="P387" s="62"/>
      <c r="Q387" s="62"/>
      <c r="R387" s="62"/>
      <c r="S387" s="258"/>
      <c r="T387" s="248" t="str">
        <f t="shared" si="49"/>
        <v/>
      </c>
      <c r="U387" s="249" t="str">
        <f t="shared" si="50"/>
        <v/>
      </c>
      <c r="V387" s="294" t="str">
        <f t="shared" si="46"/>
        <v/>
      </c>
      <c r="W387" s="294" t="str">
        <f>IF(((E387="")+(F387="")),"",IF(VLOOKUP(F387,Mannschaften!$A$1:$B$54,2,FALSE)&lt;&gt;E387,"Reiter Mannschaften füllen",""))</f>
        <v/>
      </c>
      <c r="X387" s="248" t="str">
        <f>IF(ISBLANK(C387),"",IF((U387&gt;(LOOKUP(E387,WKNrListe,Übersicht!$O$7:$O$46)))+(U387&lt;(LOOKUP(E387,WKNrListe,Übersicht!$P$7:$P$46))),"JG falsch",""))</f>
        <v/>
      </c>
      <c r="Y387" s="255" t="str">
        <f>IF((A387="")*(B387=""),"",IF(ISERROR(MATCH(E387,WKNrListe,0)),"WK falsch",LOOKUP(E387,WKNrListe,Übersicht!$B$7:$B$46)))</f>
        <v/>
      </c>
      <c r="Z387" s="269" t="str">
        <f>IF(((AJ387=0)*(AH387&lt;&gt;"")*(AK387="-"))+((AJ387&lt;&gt;0)*(AH387&lt;&gt;"")*(AK387="-")),IF(AG387="X",Übersicht!$C$70,Übersicht!$C$69),"-")</f>
        <v>-</v>
      </c>
      <c r="AA387" s="252" t="str">
        <f>IF((($A387="")*($B387=""))+((MID($Y387,1,4)&lt;&gt;"Wahl")*(Deckblatt!$C$14='WK-Vorlagen'!$C$82))+(Deckblatt!$C$14&lt;&gt;'WK-Vorlagen'!$C$82),"",IF(ISERROR(MATCH(VALUE(MID(G387,1,2)),Schwierigkeitsstufen!$G$7:$G$19,0)),"Gerät falsch",LOOKUP(VALUE(MID(G387,1,2)),Schwierigkeitsstufen!$G$7:$G$19,Schwierigkeitsstufen!$H$7:$H$19)))</f>
        <v/>
      </c>
      <c r="AB387" s="250" t="str">
        <f>IF((($A387="")*($B387=""))+((MID($Y387,1,4)&lt;&gt;"Wahl")*(Deckblatt!$C$14='WK-Vorlagen'!$C$82))+(Deckblatt!$C$14&lt;&gt;'WK-Vorlagen'!$C$82),"",IF(ISERROR(MATCH(VALUE(MID(H387,1,2)),Schwierigkeitsstufen!$G$7:$G$19,0)),"Gerät falsch",LOOKUP(VALUE(MID(H387,1,2)),Schwierigkeitsstufen!$G$7:$G$19,Schwierigkeitsstufen!$H$7:$H$19)))</f>
        <v/>
      </c>
      <c r="AC387" s="250" t="str">
        <f>IF((($A387="")*($B387=""))+((MID($Y387,1,4)&lt;&gt;"Wahl")*(Deckblatt!$C$14='WK-Vorlagen'!$C$82))+(Deckblatt!$C$14&lt;&gt;'WK-Vorlagen'!$C$82),"",IF(ISERROR(MATCH(VALUE(MID(I387,1,2)),Schwierigkeitsstufen!$G$7:$G$19,0)),"Gerät falsch",LOOKUP(VALUE(MID(I387,1,2)),Schwierigkeitsstufen!$G$7:$G$19,Schwierigkeitsstufen!$H$7:$H$19)))</f>
        <v/>
      </c>
      <c r="AD387" s="251" t="str">
        <f>IF((($A387="")*($B387=""))+((MID($Y387,1,4)&lt;&gt;"Wahl")*(Deckblatt!$C$14='WK-Vorlagen'!$C$82))+(Deckblatt!$C$14&lt;&gt;'WK-Vorlagen'!$C$82),"",IF(ISERROR(MATCH(VALUE(MID(J387,1,2)),Schwierigkeitsstufen!$G$7:$G$19,0)),"Gerät falsch",LOOKUP(VALUE(MID(J387,1,2)),Schwierigkeitsstufen!$G$7:$G$19,Schwierigkeitsstufen!$H$7:$H$19)))</f>
        <v/>
      </c>
      <c r="AE387" s="211"/>
      <c r="AG387" s="221" t="str">
        <f t="shared" si="45"/>
        <v/>
      </c>
      <c r="AH387" s="222" t="str">
        <f t="shared" si="47"/>
        <v/>
      </c>
      <c r="AI387" s="220">
        <f t="shared" si="52"/>
        <v>4</v>
      </c>
      <c r="AJ387" s="222">
        <f t="shared" si="48"/>
        <v>0</v>
      </c>
      <c r="AK387" s="299" t="str">
        <f>IF(ISERROR(LOOKUP(E387,WKNrListe,Übersicht!$R$7:$R$46)),"-",LOOKUP(E387,WKNrListe,Übersicht!$R$7:$R$46))</f>
        <v>-</v>
      </c>
      <c r="AL387" s="299" t="str">
        <f t="shared" si="51"/>
        <v>-</v>
      </c>
      <c r="AM387" s="303"/>
      <c r="AN387" s="174" t="str">
        <f t="shared" si="53"/>
        <v>Leer</v>
      </c>
    </row>
    <row r="388" spans="1:40" s="174" customFormat="1" ht="15" customHeight="1">
      <c r="A388" s="63"/>
      <c r="B388" s="63"/>
      <c r="C388" s="84"/>
      <c r="D388" s="85"/>
      <c r="E388" s="62"/>
      <c r="F388" s="62"/>
      <c r="G388" s="62"/>
      <c r="H388" s="62"/>
      <c r="I388" s="62"/>
      <c r="J388" s="62"/>
      <c r="K388" s="62"/>
      <c r="L388" s="62"/>
      <c r="M388" s="62"/>
      <c r="N388" s="62"/>
      <c r="O388" s="62"/>
      <c r="P388" s="62"/>
      <c r="Q388" s="62"/>
      <c r="R388" s="62"/>
      <c r="S388" s="258"/>
      <c r="T388" s="248" t="str">
        <f t="shared" si="49"/>
        <v/>
      </c>
      <c r="U388" s="249" t="str">
        <f t="shared" si="50"/>
        <v/>
      </c>
      <c r="V388" s="294" t="str">
        <f t="shared" si="46"/>
        <v/>
      </c>
      <c r="W388" s="294" t="str">
        <f>IF(((E388="")+(F388="")),"",IF(VLOOKUP(F388,Mannschaften!$A$1:$B$54,2,FALSE)&lt;&gt;E388,"Reiter Mannschaften füllen",""))</f>
        <v/>
      </c>
      <c r="X388" s="248" t="str">
        <f>IF(ISBLANK(C388),"",IF((U388&gt;(LOOKUP(E388,WKNrListe,Übersicht!$O$7:$O$46)))+(U388&lt;(LOOKUP(E388,WKNrListe,Übersicht!$P$7:$P$46))),"JG falsch",""))</f>
        <v/>
      </c>
      <c r="Y388" s="255" t="str">
        <f>IF((A388="")*(B388=""),"",IF(ISERROR(MATCH(E388,WKNrListe,0)),"WK falsch",LOOKUP(E388,WKNrListe,Übersicht!$B$7:$B$46)))</f>
        <v/>
      </c>
      <c r="Z388" s="269" t="str">
        <f>IF(((AJ388=0)*(AH388&lt;&gt;"")*(AK388="-"))+((AJ388&lt;&gt;0)*(AH388&lt;&gt;"")*(AK388="-")),IF(AG388="X",Übersicht!$C$70,Übersicht!$C$69),"-")</f>
        <v>-</v>
      </c>
      <c r="AA388" s="252" t="str">
        <f>IF((($A388="")*($B388=""))+((MID($Y388,1,4)&lt;&gt;"Wahl")*(Deckblatt!$C$14='WK-Vorlagen'!$C$82))+(Deckblatt!$C$14&lt;&gt;'WK-Vorlagen'!$C$82),"",IF(ISERROR(MATCH(VALUE(MID(G388,1,2)),Schwierigkeitsstufen!$G$7:$G$19,0)),"Gerät falsch",LOOKUP(VALUE(MID(G388,1,2)),Schwierigkeitsstufen!$G$7:$G$19,Schwierigkeitsstufen!$H$7:$H$19)))</f>
        <v/>
      </c>
      <c r="AB388" s="250" t="str">
        <f>IF((($A388="")*($B388=""))+((MID($Y388,1,4)&lt;&gt;"Wahl")*(Deckblatt!$C$14='WK-Vorlagen'!$C$82))+(Deckblatt!$C$14&lt;&gt;'WK-Vorlagen'!$C$82),"",IF(ISERROR(MATCH(VALUE(MID(H388,1,2)),Schwierigkeitsstufen!$G$7:$G$19,0)),"Gerät falsch",LOOKUP(VALUE(MID(H388,1,2)),Schwierigkeitsstufen!$G$7:$G$19,Schwierigkeitsstufen!$H$7:$H$19)))</f>
        <v/>
      </c>
      <c r="AC388" s="250" t="str">
        <f>IF((($A388="")*($B388=""))+((MID($Y388,1,4)&lt;&gt;"Wahl")*(Deckblatt!$C$14='WK-Vorlagen'!$C$82))+(Deckblatt!$C$14&lt;&gt;'WK-Vorlagen'!$C$82),"",IF(ISERROR(MATCH(VALUE(MID(I388,1,2)),Schwierigkeitsstufen!$G$7:$G$19,0)),"Gerät falsch",LOOKUP(VALUE(MID(I388,1,2)),Schwierigkeitsstufen!$G$7:$G$19,Schwierigkeitsstufen!$H$7:$H$19)))</f>
        <v/>
      </c>
      <c r="AD388" s="251" t="str">
        <f>IF((($A388="")*($B388=""))+((MID($Y388,1,4)&lt;&gt;"Wahl")*(Deckblatt!$C$14='WK-Vorlagen'!$C$82))+(Deckblatt!$C$14&lt;&gt;'WK-Vorlagen'!$C$82),"",IF(ISERROR(MATCH(VALUE(MID(J388,1,2)),Schwierigkeitsstufen!$G$7:$G$19,0)),"Gerät falsch",LOOKUP(VALUE(MID(J388,1,2)),Schwierigkeitsstufen!$G$7:$G$19,Schwierigkeitsstufen!$H$7:$H$19)))</f>
        <v/>
      </c>
      <c r="AE388" s="211"/>
      <c r="AG388" s="221" t="str">
        <f t="shared" ref="AG388:AG451" si="54">IF((C388&lt;&gt;0),IF(((Jahr-U388)&gt;19)*(AJ388=0)*(AK388&lt;&gt;1),"X",IF(((Jahr-U388)&gt;19)*(AJ388=0),"J","-")),"")</f>
        <v/>
      </c>
      <c r="AH388" s="222" t="str">
        <f t="shared" si="47"/>
        <v/>
      </c>
      <c r="AI388" s="220">
        <f t="shared" si="52"/>
        <v>4</v>
      </c>
      <c r="AJ388" s="222">
        <f t="shared" si="48"/>
        <v>0</v>
      </c>
      <c r="AK388" s="299" t="str">
        <f>IF(ISERROR(LOOKUP(E388,WKNrListe,Übersicht!$R$7:$R$46)),"-",LOOKUP(E388,WKNrListe,Übersicht!$R$7:$R$46))</f>
        <v>-</v>
      </c>
      <c r="AL388" s="299" t="str">
        <f t="shared" si="51"/>
        <v>-</v>
      </c>
      <c r="AM388" s="303"/>
      <c r="AN388" s="174" t="str">
        <f t="shared" si="53"/>
        <v>Leer</v>
      </c>
    </row>
    <row r="389" spans="1:40" s="174" customFormat="1" ht="15" customHeight="1">
      <c r="A389" s="63"/>
      <c r="B389" s="63"/>
      <c r="C389" s="84"/>
      <c r="D389" s="85"/>
      <c r="E389" s="62"/>
      <c r="F389" s="62"/>
      <c r="G389" s="62"/>
      <c r="H389" s="62"/>
      <c r="I389" s="62"/>
      <c r="J389" s="62"/>
      <c r="K389" s="62"/>
      <c r="L389" s="62"/>
      <c r="M389" s="62"/>
      <c r="N389" s="62"/>
      <c r="O389" s="62"/>
      <c r="P389" s="62"/>
      <c r="Q389" s="62"/>
      <c r="R389" s="62"/>
      <c r="S389" s="258"/>
      <c r="T389" s="248" t="str">
        <f t="shared" si="49"/>
        <v/>
      </c>
      <c r="U389" s="249" t="str">
        <f t="shared" si="50"/>
        <v/>
      </c>
      <c r="V389" s="294" t="str">
        <f t="shared" ref="V389:V452" si="55">IF(((AK389="-")*(F389=""))+((AK389=1)*(F389&lt;&gt;""))+(Y389="WK falsch"),"",IF((AK389=1)*(F389=""),"Mannsch-Nr fehlt","Mannsch-Nr entf"))</f>
        <v/>
      </c>
      <c r="W389" s="294" t="str">
        <f>IF(((E389="")+(F389="")),"",IF(VLOOKUP(F389,Mannschaften!$A$1:$B$54,2,FALSE)&lt;&gt;E389,"Reiter Mannschaften füllen",""))</f>
        <v/>
      </c>
      <c r="X389" s="248" t="str">
        <f>IF(ISBLANK(C389),"",IF((U389&gt;(LOOKUP(E389,WKNrListe,Übersicht!$O$7:$O$46)))+(U389&lt;(LOOKUP(E389,WKNrListe,Übersicht!$P$7:$P$46))),"JG falsch",""))</f>
        <v/>
      </c>
      <c r="Y389" s="255" t="str">
        <f>IF((A389="")*(B389=""),"",IF(ISERROR(MATCH(E389,WKNrListe,0)),"WK falsch",LOOKUP(E389,WKNrListe,Übersicht!$B$7:$B$46)))</f>
        <v/>
      </c>
      <c r="Z389" s="269" t="str">
        <f>IF(((AJ389=0)*(AH389&lt;&gt;"")*(AK389="-"))+((AJ389&lt;&gt;0)*(AH389&lt;&gt;"")*(AK389="-")),IF(AG389="X",Übersicht!$C$70,Übersicht!$C$69),"-")</f>
        <v>-</v>
      </c>
      <c r="AA389" s="252" t="str">
        <f>IF((($A389="")*($B389=""))+((MID($Y389,1,4)&lt;&gt;"Wahl")*(Deckblatt!$C$14='WK-Vorlagen'!$C$82))+(Deckblatt!$C$14&lt;&gt;'WK-Vorlagen'!$C$82),"",IF(ISERROR(MATCH(VALUE(MID(G389,1,2)),Schwierigkeitsstufen!$G$7:$G$19,0)),"Gerät falsch",LOOKUP(VALUE(MID(G389,1,2)),Schwierigkeitsstufen!$G$7:$G$19,Schwierigkeitsstufen!$H$7:$H$19)))</f>
        <v/>
      </c>
      <c r="AB389" s="250" t="str">
        <f>IF((($A389="")*($B389=""))+((MID($Y389,1,4)&lt;&gt;"Wahl")*(Deckblatt!$C$14='WK-Vorlagen'!$C$82))+(Deckblatt!$C$14&lt;&gt;'WK-Vorlagen'!$C$82),"",IF(ISERROR(MATCH(VALUE(MID(H389,1,2)),Schwierigkeitsstufen!$G$7:$G$19,0)),"Gerät falsch",LOOKUP(VALUE(MID(H389,1,2)),Schwierigkeitsstufen!$G$7:$G$19,Schwierigkeitsstufen!$H$7:$H$19)))</f>
        <v/>
      </c>
      <c r="AC389" s="250" t="str">
        <f>IF((($A389="")*($B389=""))+((MID($Y389,1,4)&lt;&gt;"Wahl")*(Deckblatt!$C$14='WK-Vorlagen'!$C$82))+(Deckblatt!$C$14&lt;&gt;'WK-Vorlagen'!$C$82),"",IF(ISERROR(MATCH(VALUE(MID(I389,1,2)),Schwierigkeitsstufen!$G$7:$G$19,0)),"Gerät falsch",LOOKUP(VALUE(MID(I389,1,2)),Schwierigkeitsstufen!$G$7:$G$19,Schwierigkeitsstufen!$H$7:$H$19)))</f>
        <v/>
      </c>
      <c r="AD389" s="251" t="str">
        <f>IF((($A389="")*($B389=""))+((MID($Y389,1,4)&lt;&gt;"Wahl")*(Deckblatt!$C$14='WK-Vorlagen'!$C$82))+(Deckblatt!$C$14&lt;&gt;'WK-Vorlagen'!$C$82),"",IF(ISERROR(MATCH(VALUE(MID(J389,1,2)),Schwierigkeitsstufen!$G$7:$G$19,0)),"Gerät falsch",LOOKUP(VALUE(MID(J389,1,2)),Schwierigkeitsstufen!$G$7:$G$19,Schwierigkeitsstufen!$H$7:$H$19)))</f>
        <v/>
      </c>
      <c r="AE389" s="211"/>
      <c r="AG389" s="221" t="str">
        <f t="shared" si="54"/>
        <v/>
      </c>
      <c r="AH389" s="222" t="str">
        <f t="shared" ref="AH389:AH452" si="56">CONCATENATE(TRIM(A389),TRIM(B389),TRIM(C389))</f>
        <v/>
      </c>
      <c r="AI389" s="220">
        <f t="shared" si="52"/>
        <v>4</v>
      </c>
      <c r="AJ389" s="222">
        <f t="shared" ref="AJ389:AJ452" si="57">IF(AH389="",0,IF(ROW(AH389)=AI389,0,AI389))</f>
        <v>0</v>
      </c>
      <c r="AK389" s="299" t="str">
        <f>IF(ISERROR(LOOKUP(E389,WKNrListe,Übersicht!$R$7:$R$46)),"-",LOOKUP(E389,WKNrListe,Übersicht!$R$7:$R$46))</f>
        <v>-</v>
      </c>
      <c r="AL389" s="299" t="str">
        <f t="shared" si="51"/>
        <v>-</v>
      </c>
      <c r="AM389" s="303"/>
      <c r="AN389" s="174" t="str">
        <f t="shared" si="53"/>
        <v>Leer</v>
      </c>
    </row>
    <row r="390" spans="1:40" s="174" customFormat="1" ht="15" customHeight="1">
      <c r="A390" s="63"/>
      <c r="B390" s="63"/>
      <c r="C390" s="84"/>
      <c r="D390" s="85"/>
      <c r="E390" s="62"/>
      <c r="F390" s="62"/>
      <c r="G390" s="62"/>
      <c r="H390" s="62"/>
      <c r="I390" s="62"/>
      <c r="J390" s="62"/>
      <c r="K390" s="62"/>
      <c r="L390" s="62"/>
      <c r="M390" s="62"/>
      <c r="N390" s="62"/>
      <c r="O390" s="62"/>
      <c r="P390" s="62"/>
      <c r="Q390" s="62"/>
      <c r="R390" s="62"/>
      <c r="S390" s="258"/>
      <c r="T390" s="248" t="str">
        <f t="shared" ref="T390:T453" si="58">IF(AND(OR(ISTEXT(A390),ISTEXT(B390),NOT(ISBLANK(C390)),NOT(ISBLANK(D390)),NOT(ISBLANK(E390))),OR(ISBLANK(A390),ISBLANK(B390),ISBLANK(C390),ISBLANK(E390))),"unvollständig","")</f>
        <v/>
      </c>
      <c r="U390" s="249" t="str">
        <f t="shared" ref="U390:U453" si="59">IF(ISBLANK(C390),"",YEAR(C390))</f>
        <v/>
      </c>
      <c r="V390" s="294" t="str">
        <f t="shared" si="55"/>
        <v/>
      </c>
      <c r="W390" s="294" t="str">
        <f>IF(((E390="")+(F390="")),"",IF(VLOOKUP(F390,Mannschaften!$A$1:$B$54,2,FALSE)&lt;&gt;E390,"Reiter Mannschaften füllen",""))</f>
        <v/>
      </c>
      <c r="X390" s="248" t="str">
        <f>IF(ISBLANK(C390),"",IF((U390&gt;(LOOKUP(E390,WKNrListe,Übersicht!$O$7:$O$46)))+(U390&lt;(LOOKUP(E390,WKNrListe,Übersicht!$P$7:$P$46))),"JG falsch",""))</f>
        <v/>
      </c>
      <c r="Y390" s="255" t="str">
        <f>IF((A390="")*(B390=""),"",IF(ISERROR(MATCH(E390,WKNrListe,0)),"WK falsch",LOOKUP(E390,WKNrListe,Übersicht!$B$7:$B$46)))</f>
        <v/>
      </c>
      <c r="Z390" s="269" t="str">
        <f>IF(((AJ390=0)*(AH390&lt;&gt;"")*(AK390="-"))+((AJ390&lt;&gt;0)*(AH390&lt;&gt;"")*(AK390="-")),IF(AG390="X",Übersicht!$C$70,Übersicht!$C$69),"-")</f>
        <v>-</v>
      </c>
      <c r="AA390" s="252" t="str">
        <f>IF((($A390="")*($B390=""))+((MID($Y390,1,4)&lt;&gt;"Wahl")*(Deckblatt!$C$14='WK-Vorlagen'!$C$82))+(Deckblatt!$C$14&lt;&gt;'WK-Vorlagen'!$C$82),"",IF(ISERROR(MATCH(VALUE(MID(G390,1,2)),Schwierigkeitsstufen!$G$7:$G$19,0)),"Gerät falsch",LOOKUP(VALUE(MID(G390,1,2)),Schwierigkeitsstufen!$G$7:$G$19,Schwierigkeitsstufen!$H$7:$H$19)))</f>
        <v/>
      </c>
      <c r="AB390" s="250" t="str">
        <f>IF((($A390="")*($B390=""))+((MID($Y390,1,4)&lt;&gt;"Wahl")*(Deckblatt!$C$14='WK-Vorlagen'!$C$82))+(Deckblatt!$C$14&lt;&gt;'WK-Vorlagen'!$C$82),"",IF(ISERROR(MATCH(VALUE(MID(H390,1,2)),Schwierigkeitsstufen!$G$7:$G$19,0)),"Gerät falsch",LOOKUP(VALUE(MID(H390,1,2)),Schwierigkeitsstufen!$G$7:$G$19,Schwierigkeitsstufen!$H$7:$H$19)))</f>
        <v/>
      </c>
      <c r="AC390" s="250" t="str">
        <f>IF((($A390="")*($B390=""))+((MID($Y390,1,4)&lt;&gt;"Wahl")*(Deckblatt!$C$14='WK-Vorlagen'!$C$82))+(Deckblatt!$C$14&lt;&gt;'WK-Vorlagen'!$C$82),"",IF(ISERROR(MATCH(VALUE(MID(I390,1,2)),Schwierigkeitsstufen!$G$7:$G$19,0)),"Gerät falsch",LOOKUP(VALUE(MID(I390,1,2)),Schwierigkeitsstufen!$G$7:$G$19,Schwierigkeitsstufen!$H$7:$H$19)))</f>
        <v/>
      </c>
      <c r="AD390" s="251" t="str">
        <f>IF((($A390="")*($B390=""))+((MID($Y390,1,4)&lt;&gt;"Wahl")*(Deckblatt!$C$14='WK-Vorlagen'!$C$82))+(Deckblatt!$C$14&lt;&gt;'WK-Vorlagen'!$C$82),"",IF(ISERROR(MATCH(VALUE(MID(J390,1,2)),Schwierigkeitsstufen!$G$7:$G$19,0)),"Gerät falsch",LOOKUP(VALUE(MID(J390,1,2)),Schwierigkeitsstufen!$G$7:$G$19,Schwierigkeitsstufen!$H$7:$H$19)))</f>
        <v/>
      </c>
      <c r="AE390" s="211"/>
      <c r="AG390" s="221" t="str">
        <f t="shared" si="54"/>
        <v/>
      </c>
      <c r="AH390" s="222" t="str">
        <f t="shared" si="56"/>
        <v/>
      </c>
      <c r="AI390" s="220">
        <f t="shared" si="52"/>
        <v>4</v>
      </c>
      <c r="AJ390" s="222">
        <f t="shared" si="57"/>
        <v>0</v>
      </c>
      <c r="AK390" s="299" t="str">
        <f>IF(ISERROR(LOOKUP(E390,WKNrListe,Übersicht!$R$7:$R$46)),"-",LOOKUP(E390,WKNrListe,Übersicht!$R$7:$R$46))</f>
        <v>-</v>
      </c>
      <c r="AL390" s="299" t="str">
        <f t="shared" ref="AL390:AL453" si="60">IF(E390="","-",E390)</f>
        <v>-</v>
      </c>
      <c r="AM390" s="303"/>
      <c r="AN390" s="174" t="str">
        <f t="shared" si="53"/>
        <v>Leer</v>
      </c>
    </row>
    <row r="391" spans="1:40" s="174" customFormat="1" ht="15" customHeight="1">
      <c r="A391" s="63"/>
      <c r="B391" s="63"/>
      <c r="C391" s="84"/>
      <c r="D391" s="85"/>
      <c r="E391" s="62"/>
      <c r="F391" s="62"/>
      <c r="G391" s="62"/>
      <c r="H391" s="62"/>
      <c r="I391" s="62"/>
      <c r="J391" s="62"/>
      <c r="K391" s="62"/>
      <c r="L391" s="62"/>
      <c r="M391" s="62"/>
      <c r="N391" s="62"/>
      <c r="O391" s="62"/>
      <c r="P391" s="62"/>
      <c r="Q391" s="62"/>
      <c r="R391" s="62"/>
      <c r="S391" s="258"/>
      <c r="T391" s="248" t="str">
        <f t="shared" si="58"/>
        <v/>
      </c>
      <c r="U391" s="249" t="str">
        <f t="shared" si="59"/>
        <v/>
      </c>
      <c r="V391" s="294" t="str">
        <f t="shared" si="55"/>
        <v/>
      </c>
      <c r="W391" s="294" t="str">
        <f>IF(((E391="")+(F391="")),"",IF(VLOOKUP(F391,Mannschaften!$A$1:$B$54,2,FALSE)&lt;&gt;E391,"Reiter Mannschaften füllen",""))</f>
        <v/>
      </c>
      <c r="X391" s="248" t="str">
        <f>IF(ISBLANK(C391),"",IF((U391&gt;(LOOKUP(E391,WKNrListe,Übersicht!$O$7:$O$46)))+(U391&lt;(LOOKUP(E391,WKNrListe,Übersicht!$P$7:$P$46))),"JG falsch",""))</f>
        <v/>
      </c>
      <c r="Y391" s="255" t="str">
        <f>IF((A391="")*(B391=""),"",IF(ISERROR(MATCH(E391,WKNrListe,0)),"WK falsch",LOOKUP(E391,WKNrListe,Übersicht!$B$7:$B$46)))</f>
        <v/>
      </c>
      <c r="Z391" s="269" t="str">
        <f>IF(((AJ391=0)*(AH391&lt;&gt;"")*(AK391="-"))+((AJ391&lt;&gt;0)*(AH391&lt;&gt;"")*(AK391="-")),IF(AG391="X",Übersicht!$C$70,Übersicht!$C$69),"-")</f>
        <v>-</v>
      </c>
      <c r="AA391" s="252" t="str">
        <f>IF((($A391="")*($B391=""))+((MID($Y391,1,4)&lt;&gt;"Wahl")*(Deckblatt!$C$14='WK-Vorlagen'!$C$82))+(Deckblatt!$C$14&lt;&gt;'WK-Vorlagen'!$C$82),"",IF(ISERROR(MATCH(VALUE(MID(G391,1,2)),Schwierigkeitsstufen!$G$7:$G$19,0)),"Gerät falsch",LOOKUP(VALUE(MID(G391,1,2)),Schwierigkeitsstufen!$G$7:$G$19,Schwierigkeitsstufen!$H$7:$H$19)))</f>
        <v/>
      </c>
      <c r="AB391" s="250" t="str">
        <f>IF((($A391="")*($B391=""))+((MID($Y391,1,4)&lt;&gt;"Wahl")*(Deckblatt!$C$14='WK-Vorlagen'!$C$82))+(Deckblatt!$C$14&lt;&gt;'WK-Vorlagen'!$C$82),"",IF(ISERROR(MATCH(VALUE(MID(H391,1,2)),Schwierigkeitsstufen!$G$7:$G$19,0)),"Gerät falsch",LOOKUP(VALUE(MID(H391,1,2)),Schwierigkeitsstufen!$G$7:$G$19,Schwierigkeitsstufen!$H$7:$H$19)))</f>
        <v/>
      </c>
      <c r="AC391" s="250" t="str">
        <f>IF((($A391="")*($B391=""))+((MID($Y391,1,4)&lt;&gt;"Wahl")*(Deckblatt!$C$14='WK-Vorlagen'!$C$82))+(Deckblatt!$C$14&lt;&gt;'WK-Vorlagen'!$C$82),"",IF(ISERROR(MATCH(VALUE(MID(I391,1,2)),Schwierigkeitsstufen!$G$7:$G$19,0)),"Gerät falsch",LOOKUP(VALUE(MID(I391,1,2)),Schwierigkeitsstufen!$G$7:$G$19,Schwierigkeitsstufen!$H$7:$H$19)))</f>
        <v/>
      </c>
      <c r="AD391" s="251" t="str">
        <f>IF((($A391="")*($B391=""))+((MID($Y391,1,4)&lt;&gt;"Wahl")*(Deckblatt!$C$14='WK-Vorlagen'!$C$82))+(Deckblatt!$C$14&lt;&gt;'WK-Vorlagen'!$C$82),"",IF(ISERROR(MATCH(VALUE(MID(J391,1,2)),Schwierigkeitsstufen!$G$7:$G$19,0)),"Gerät falsch",LOOKUP(VALUE(MID(J391,1,2)),Schwierigkeitsstufen!$G$7:$G$19,Schwierigkeitsstufen!$H$7:$H$19)))</f>
        <v/>
      </c>
      <c r="AE391" s="211"/>
      <c r="AG391" s="221" t="str">
        <f t="shared" si="54"/>
        <v/>
      </c>
      <c r="AH391" s="222" t="str">
        <f t="shared" si="56"/>
        <v/>
      </c>
      <c r="AI391" s="220">
        <f t="shared" ref="AI391:AI454" si="61">MATCH(AH391,AH:AH,0)</f>
        <v>4</v>
      </c>
      <c r="AJ391" s="222">
        <f t="shared" si="57"/>
        <v>0</v>
      </c>
      <c r="AK391" s="299" t="str">
        <f>IF(ISERROR(LOOKUP(E391,WKNrListe,Übersicht!$R$7:$R$46)),"-",LOOKUP(E391,WKNrListe,Übersicht!$R$7:$R$46))</f>
        <v>-</v>
      </c>
      <c r="AL391" s="299" t="str">
        <f t="shared" si="60"/>
        <v>-</v>
      </c>
      <c r="AM391" s="303"/>
      <c r="AN391" s="174" t="str">
        <f t="shared" si="53"/>
        <v>Leer</v>
      </c>
    </row>
    <row r="392" spans="1:40" s="174" customFormat="1" ht="15" customHeight="1">
      <c r="A392" s="63"/>
      <c r="B392" s="63"/>
      <c r="C392" s="84"/>
      <c r="D392" s="85"/>
      <c r="E392" s="62"/>
      <c r="F392" s="62"/>
      <c r="G392" s="62"/>
      <c r="H392" s="62"/>
      <c r="I392" s="62"/>
      <c r="J392" s="62"/>
      <c r="K392" s="62"/>
      <c r="L392" s="62"/>
      <c r="M392" s="62"/>
      <c r="N392" s="62"/>
      <c r="O392" s="62"/>
      <c r="P392" s="62"/>
      <c r="Q392" s="62"/>
      <c r="R392" s="62"/>
      <c r="S392" s="258"/>
      <c r="T392" s="248" t="str">
        <f t="shared" si="58"/>
        <v/>
      </c>
      <c r="U392" s="249" t="str">
        <f t="shared" si="59"/>
        <v/>
      </c>
      <c r="V392" s="294" t="str">
        <f t="shared" si="55"/>
        <v/>
      </c>
      <c r="W392" s="294" t="str">
        <f>IF(((E392="")+(F392="")),"",IF(VLOOKUP(F392,Mannschaften!$A$1:$B$54,2,FALSE)&lt;&gt;E392,"Reiter Mannschaften füllen",""))</f>
        <v/>
      </c>
      <c r="X392" s="248" t="str">
        <f>IF(ISBLANK(C392),"",IF((U392&gt;(LOOKUP(E392,WKNrListe,Übersicht!$O$7:$O$46)))+(U392&lt;(LOOKUP(E392,WKNrListe,Übersicht!$P$7:$P$46))),"JG falsch",""))</f>
        <v/>
      </c>
      <c r="Y392" s="255" t="str">
        <f>IF((A392="")*(B392=""),"",IF(ISERROR(MATCH(E392,WKNrListe,0)),"WK falsch",LOOKUP(E392,WKNrListe,Übersicht!$B$7:$B$46)))</f>
        <v/>
      </c>
      <c r="Z392" s="269" t="str">
        <f>IF(((AJ392=0)*(AH392&lt;&gt;"")*(AK392="-"))+((AJ392&lt;&gt;0)*(AH392&lt;&gt;"")*(AK392="-")),IF(AG392="X",Übersicht!$C$70,Übersicht!$C$69),"-")</f>
        <v>-</v>
      </c>
      <c r="AA392" s="252" t="str">
        <f>IF((($A392="")*($B392=""))+((MID($Y392,1,4)&lt;&gt;"Wahl")*(Deckblatt!$C$14='WK-Vorlagen'!$C$82))+(Deckblatt!$C$14&lt;&gt;'WK-Vorlagen'!$C$82),"",IF(ISERROR(MATCH(VALUE(MID(G392,1,2)),Schwierigkeitsstufen!$G$7:$G$19,0)),"Gerät falsch",LOOKUP(VALUE(MID(G392,1,2)),Schwierigkeitsstufen!$G$7:$G$19,Schwierigkeitsstufen!$H$7:$H$19)))</f>
        <v/>
      </c>
      <c r="AB392" s="250" t="str">
        <f>IF((($A392="")*($B392=""))+((MID($Y392,1,4)&lt;&gt;"Wahl")*(Deckblatt!$C$14='WK-Vorlagen'!$C$82))+(Deckblatt!$C$14&lt;&gt;'WK-Vorlagen'!$C$82),"",IF(ISERROR(MATCH(VALUE(MID(H392,1,2)),Schwierigkeitsstufen!$G$7:$G$19,0)),"Gerät falsch",LOOKUP(VALUE(MID(H392,1,2)),Schwierigkeitsstufen!$G$7:$G$19,Schwierigkeitsstufen!$H$7:$H$19)))</f>
        <v/>
      </c>
      <c r="AC392" s="250" t="str">
        <f>IF((($A392="")*($B392=""))+((MID($Y392,1,4)&lt;&gt;"Wahl")*(Deckblatt!$C$14='WK-Vorlagen'!$C$82))+(Deckblatt!$C$14&lt;&gt;'WK-Vorlagen'!$C$82),"",IF(ISERROR(MATCH(VALUE(MID(I392,1,2)),Schwierigkeitsstufen!$G$7:$G$19,0)),"Gerät falsch",LOOKUP(VALUE(MID(I392,1,2)),Schwierigkeitsstufen!$G$7:$G$19,Schwierigkeitsstufen!$H$7:$H$19)))</f>
        <v/>
      </c>
      <c r="AD392" s="251" t="str">
        <f>IF((($A392="")*($B392=""))+((MID($Y392,1,4)&lt;&gt;"Wahl")*(Deckblatt!$C$14='WK-Vorlagen'!$C$82))+(Deckblatt!$C$14&lt;&gt;'WK-Vorlagen'!$C$82),"",IF(ISERROR(MATCH(VALUE(MID(J392,1,2)),Schwierigkeitsstufen!$G$7:$G$19,0)),"Gerät falsch",LOOKUP(VALUE(MID(J392,1,2)),Schwierigkeitsstufen!$G$7:$G$19,Schwierigkeitsstufen!$H$7:$H$19)))</f>
        <v/>
      </c>
      <c r="AE392" s="211"/>
      <c r="AG392" s="221" t="str">
        <f t="shared" si="54"/>
        <v/>
      </c>
      <c r="AH392" s="222" t="str">
        <f t="shared" si="56"/>
        <v/>
      </c>
      <c r="AI392" s="220">
        <f t="shared" si="61"/>
        <v>4</v>
      </c>
      <c r="AJ392" s="222">
        <f t="shared" si="57"/>
        <v>0</v>
      </c>
      <c r="AK392" s="299" t="str">
        <f>IF(ISERROR(LOOKUP(E392,WKNrListe,Übersicht!$R$7:$R$46)),"-",LOOKUP(E392,WKNrListe,Übersicht!$R$7:$R$46))</f>
        <v>-</v>
      </c>
      <c r="AL392" s="299" t="str">
        <f t="shared" si="60"/>
        <v>-</v>
      </c>
      <c r="AM392" s="303"/>
      <c r="AN392" s="174" t="str">
        <f t="shared" si="53"/>
        <v>Leer</v>
      </c>
    </row>
    <row r="393" spans="1:40" s="174" customFormat="1" ht="15" customHeight="1">
      <c r="A393" s="63"/>
      <c r="B393" s="63"/>
      <c r="C393" s="84"/>
      <c r="D393" s="85"/>
      <c r="E393" s="62"/>
      <c r="F393" s="62"/>
      <c r="G393" s="62"/>
      <c r="H393" s="62"/>
      <c r="I393" s="62"/>
      <c r="J393" s="62"/>
      <c r="K393" s="62"/>
      <c r="L393" s="62"/>
      <c r="M393" s="62"/>
      <c r="N393" s="62"/>
      <c r="O393" s="62"/>
      <c r="P393" s="62"/>
      <c r="Q393" s="62"/>
      <c r="R393" s="62"/>
      <c r="S393" s="258"/>
      <c r="T393" s="248" t="str">
        <f t="shared" si="58"/>
        <v/>
      </c>
      <c r="U393" s="249" t="str">
        <f t="shared" si="59"/>
        <v/>
      </c>
      <c r="V393" s="294" t="str">
        <f t="shared" si="55"/>
        <v/>
      </c>
      <c r="W393" s="294" t="str">
        <f>IF(((E393="")+(F393="")),"",IF(VLOOKUP(F393,Mannschaften!$A$1:$B$54,2,FALSE)&lt;&gt;E393,"Reiter Mannschaften füllen",""))</f>
        <v/>
      </c>
      <c r="X393" s="248" t="str">
        <f>IF(ISBLANK(C393),"",IF((U393&gt;(LOOKUP(E393,WKNrListe,Übersicht!$O$7:$O$46)))+(U393&lt;(LOOKUP(E393,WKNrListe,Übersicht!$P$7:$P$46))),"JG falsch",""))</f>
        <v/>
      </c>
      <c r="Y393" s="255" t="str">
        <f>IF((A393="")*(B393=""),"",IF(ISERROR(MATCH(E393,WKNrListe,0)),"WK falsch",LOOKUP(E393,WKNrListe,Übersicht!$B$7:$B$46)))</f>
        <v/>
      </c>
      <c r="Z393" s="269" t="str">
        <f>IF(((AJ393=0)*(AH393&lt;&gt;"")*(AK393="-"))+((AJ393&lt;&gt;0)*(AH393&lt;&gt;"")*(AK393="-")),IF(AG393="X",Übersicht!$C$70,Übersicht!$C$69),"-")</f>
        <v>-</v>
      </c>
      <c r="AA393" s="252" t="str">
        <f>IF((($A393="")*($B393=""))+((MID($Y393,1,4)&lt;&gt;"Wahl")*(Deckblatt!$C$14='WK-Vorlagen'!$C$82))+(Deckblatt!$C$14&lt;&gt;'WK-Vorlagen'!$C$82),"",IF(ISERROR(MATCH(VALUE(MID(G393,1,2)),Schwierigkeitsstufen!$G$7:$G$19,0)),"Gerät falsch",LOOKUP(VALUE(MID(G393,1,2)),Schwierigkeitsstufen!$G$7:$G$19,Schwierigkeitsstufen!$H$7:$H$19)))</f>
        <v/>
      </c>
      <c r="AB393" s="250" t="str">
        <f>IF((($A393="")*($B393=""))+((MID($Y393,1,4)&lt;&gt;"Wahl")*(Deckblatt!$C$14='WK-Vorlagen'!$C$82))+(Deckblatt!$C$14&lt;&gt;'WK-Vorlagen'!$C$82),"",IF(ISERROR(MATCH(VALUE(MID(H393,1,2)),Schwierigkeitsstufen!$G$7:$G$19,0)),"Gerät falsch",LOOKUP(VALUE(MID(H393,1,2)),Schwierigkeitsstufen!$G$7:$G$19,Schwierigkeitsstufen!$H$7:$H$19)))</f>
        <v/>
      </c>
      <c r="AC393" s="250" t="str">
        <f>IF((($A393="")*($B393=""))+((MID($Y393,1,4)&lt;&gt;"Wahl")*(Deckblatt!$C$14='WK-Vorlagen'!$C$82))+(Deckblatt!$C$14&lt;&gt;'WK-Vorlagen'!$C$82),"",IF(ISERROR(MATCH(VALUE(MID(I393,1,2)),Schwierigkeitsstufen!$G$7:$G$19,0)),"Gerät falsch",LOOKUP(VALUE(MID(I393,1,2)),Schwierigkeitsstufen!$G$7:$G$19,Schwierigkeitsstufen!$H$7:$H$19)))</f>
        <v/>
      </c>
      <c r="AD393" s="251" t="str">
        <f>IF((($A393="")*($B393=""))+((MID($Y393,1,4)&lt;&gt;"Wahl")*(Deckblatt!$C$14='WK-Vorlagen'!$C$82))+(Deckblatt!$C$14&lt;&gt;'WK-Vorlagen'!$C$82),"",IF(ISERROR(MATCH(VALUE(MID(J393,1,2)),Schwierigkeitsstufen!$G$7:$G$19,0)),"Gerät falsch",LOOKUP(VALUE(MID(J393,1,2)),Schwierigkeitsstufen!$G$7:$G$19,Schwierigkeitsstufen!$H$7:$H$19)))</f>
        <v/>
      </c>
      <c r="AE393" s="211"/>
      <c r="AG393" s="221" t="str">
        <f t="shared" si="54"/>
        <v/>
      </c>
      <c r="AH393" s="222" t="str">
        <f t="shared" si="56"/>
        <v/>
      </c>
      <c r="AI393" s="220">
        <f t="shared" si="61"/>
        <v>4</v>
      </c>
      <c r="AJ393" s="222">
        <f t="shared" si="57"/>
        <v>0</v>
      </c>
      <c r="AK393" s="299" t="str">
        <f>IF(ISERROR(LOOKUP(E393,WKNrListe,Übersicht!$R$7:$R$46)),"-",LOOKUP(E393,WKNrListe,Übersicht!$R$7:$R$46))</f>
        <v>-</v>
      </c>
      <c r="AL393" s="299" t="str">
        <f t="shared" si="60"/>
        <v>-</v>
      </c>
      <c r="AM393" s="303"/>
      <c r="AN393" s="174" t="str">
        <f t="shared" si="53"/>
        <v>Leer</v>
      </c>
    </row>
    <row r="394" spans="1:40" s="174" customFormat="1" ht="15" customHeight="1">
      <c r="A394" s="63"/>
      <c r="B394" s="63"/>
      <c r="C394" s="84"/>
      <c r="D394" s="85"/>
      <c r="E394" s="62"/>
      <c r="F394" s="62"/>
      <c r="G394" s="62"/>
      <c r="H394" s="62"/>
      <c r="I394" s="62"/>
      <c r="J394" s="62"/>
      <c r="K394" s="62"/>
      <c r="L394" s="62"/>
      <c r="M394" s="62"/>
      <c r="N394" s="62"/>
      <c r="O394" s="62"/>
      <c r="P394" s="62"/>
      <c r="Q394" s="62"/>
      <c r="R394" s="62"/>
      <c r="S394" s="258"/>
      <c r="T394" s="248" t="str">
        <f t="shared" si="58"/>
        <v/>
      </c>
      <c r="U394" s="249" t="str">
        <f t="shared" si="59"/>
        <v/>
      </c>
      <c r="V394" s="294" t="str">
        <f t="shared" si="55"/>
        <v/>
      </c>
      <c r="W394" s="294" t="str">
        <f>IF(((E394="")+(F394="")),"",IF(VLOOKUP(F394,Mannschaften!$A$1:$B$54,2,FALSE)&lt;&gt;E394,"Reiter Mannschaften füllen",""))</f>
        <v/>
      </c>
      <c r="X394" s="248" t="str">
        <f>IF(ISBLANK(C394),"",IF((U394&gt;(LOOKUP(E394,WKNrListe,Übersicht!$O$7:$O$46)))+(U394&lt;(LOOKUP(E394,WKNrListe,Übersicht!$P$7:$P$46))),"JG falsch",""))</f>
        <v/>
      </c>
      <c r="Y394" s="255" t="str">
        <f>IF((A394="")*(B394=""),"",IF(ISERROR(MATCH(E394,WKNrListe,0)),"WK falsch",LOOKUP(E394,WKNrListe,Übersicht!$B$7:$B$46)))</f>
        <v/>
      </c>
      <c r="Z394" s="269" t="str">
        <f>IF(((AJ394=0)*(AH394&lt;&gt;"")*(AK394="-"))+((AJ394&lt;&gt;0)*(AH394&lt;&gt;"")*(AK394="-")),IF(AG394="X",Übersicht!$C$70,Übersicht!$C$69),"-")</f>
        <v>-</v>
      </c>
      <c r="AA394" s="252" t="str">
        <f>IF((($A394="")*($B394=""))+((MID($Y394,1,4)&lt;&gt;"Wahl")*(Deckblatt!$C$14='WK-Vorlagen'!$C$82))+(Deckblatt!$C$14&lt;&gt;'WK-Vorlagen'!$C$82),"",IF(ISERROR(MATCH(VALUE(MID(G394,1,2)),Schwierigkeitsstufen!$G$7:$G$19,0)),"Gerät falsch",LOOKUP(VALUE(MID(G394,1,2)),Schwierigkeitsstufen!$G$7:$G$19,Schwierigkeitsstufen!$H$7:$H$19)))</f>
        <v/>
      </c>
      <c r="AB394" s="250" t="str">
        <f>IF((($A394="")*($B394=""))+((MID($Y394,1,4)&lt;&gt;"Wahl")*(Deckblatt!$C$14='WK-Vorlagen'!$C$82))+(Deckblatt!$C$14&lt;&gt;'WK-Vorlagen'!$C$82),"",IF(ISERROR(MATCH(VALUE(MID(H394,1,2)),Schwierigkeitsstufen!$G$7:$G$19,0)),"Gerät falsch",LOOKUP(VALUE(MID(H394,1,2)),Schwierigkeitsstufen!$G$7:$G$19,Schwierigkeitsstufen!$H$7:$H$19)))</f>
        <v/>
      </c>
      <c r="AC394" s="250" t="str">
        <f>IF((($A394="")*($B394=""))+((MID($Y394,1,4)&lt;&gt;"Wahl")*(Deckblatt!$C$14='WK-Vorlagen'!$C$82))+(Deckblatt!$C$14&lt;&gt;'WK-Vorlagen'!$C$82),"",IF(ISERROR(MATCH(VALUE(MID(I394,1,2)),Schwierigkeitsstufen!$G$7:$G$19,0)),"Gerät falsch",LOOKUP(VALUE(MID(I394,1,2)),Schwierigkeitsstufen!$G$7:$G$19,Schwierigkeitsstufen!$H$7:$H$19)))</f>
        <v/>
      </c>
      <c r="AD394" s="251" t="str">
        <f>IF((($A394="")*($B394=""))+((MID($Y394,1,4)&lt;&gt;"Wahl")*(Deckblatt!$C$14='WK-Vorlagen'!$C$82))+(Deckblatt!$C$14&lt;&gt;'WK-Vorlagen'!$C$82),"",IF(ISERROR(MATCH(VALUE(MID(J394,1,2)),Schwierigkeitsstufen!$G$7:$G$19,0)),"Gerät falsch",LOOKUP(VALUE(MID(J394,1,2)),Schwierigkeitsstufen!$G$7:$G$19,Schwierigkeitsstufen!$H$7:$H$19)))</f>
        <v/>
      </c>
      <c r="AE394" s="211"/>
      <c r="AG394" s="221" t="str">
        <f t="shared" si="54"/>
        <v/>
      </c>
      <c r="AH394" s="222" t="str">
        <f t="shared" si="56"/>
        <v/>
      </c>
      <c r="AI394" s="220">
        <f t="shared" si="61"/>
        <v>4</v>
      </c>
      <c r="AJ394" s="222">
        <f t="shared" si="57"/>
        <v>0</v>
      </c>
      <c r="AK394" s="299" t="str">
        <f>IF(ISERROR(LOOKUP(E394,WKNrListe,Übersicht!$R$7:$R$46)),"-",LOOKUP(E394,WKNrListe,Übersicht!$R$7:$R$46))</f>
        <v>-</v>
      </c>
      <c r="AL394" s="299" t="str">
        <f t="shared" si="60"/>
        <v>-</v>
      </c>
      <c r="AM394" s="303"/>
      <c r="AN394" s="174" t="str">
        <f t="shared" si="53"/>
        <v>Leer</v>
      </c>
    </row>
    <row r="395" spans="1:40" s="174" customFormat="1" ht="15" customHeight="1">
      <c r="A395" s="63"/>
      <c r="B395" s="63"/>
      <c r="C395" s="84"/>
      <c r="D395" s="85"/>
      <c r="E395" s="62"/>
      <c r="F395" s="62"/>
      <c r="G395" s="62"/>
      <c r="H395" s="62"/>
      <c r="I395" s="62"/>
      <c r="J395" s="62"/>
      <c r="K395" s="62"/>
      <c r="L395" s="62"/>
      <c r="M395" s="62"/>
      <c r="N395" s="62"/>
      <c r="O395" s="62"/>
      <c r="P395" s="62"/>
      <c r="Q395" s="62"/>
      <c r="R395" s="62"/>
      <c r="S395" s="258"/>
      <c r="T395" s="248" t="str">
        <f t="shared" si="58"/>
        <v/>
      </c>
      <c r="U395" s="249" t="str">
        <f t="shared" si="59"/>
        <v/>
      </c>
      <c r="V395" s="294" t="str">
        <f t="shared" si="55"/>
        <v/>
      </c>
      <c r="W395" s="294" t="str">
        <f>IF(((E395="")+(F395="")),"",IF(VLOOKUP(F395,Mannschaften!$A$1:$B$54,2,FALSE)&lt;&gt;E395,"Reiter Mannschaften füllen",""))</f>
        <v/>
      </c>
      <c r="X395" s="248" t="str">
        <f>IF(ISBLANK(C395),"",IF((U395&gt;(LOOKUP(E395,WKNrListe,Übersicht!$O$7:$O$46)))+(U395&lt;(LOOKUP(E395,WKNrListe,Übersicht!$P$7:$P$46))),"JG falsch",""))</f>
        <v/>
      </c>
      <c r="Y395" s="255" t="str">
        <f>IF((A395="")*(B395=""),"",IF(ISERROR(MATCH(E395,WKNrListe,0)),"WK falsch",LOOKUP(E395,WKNrListe,Übersicht!$B$7:$B$46)))</f>
        <v/>
      </c>
      <c r="Z395" s="269" t="str">
        <f>IF(((AJ395=0)*(AH395&lt;&gt;"")*(AK395="-"))+((AJ395&lt;&gt;0)*(AH395&lt;&gt;"")*(AK395="-")),IF(AG395="X",Übersicht!$C$70,Übersicht!$C$69),"-")</f>
        <v>-</v>
      </c>
      <c r="AA395" s="252" t="str">
        <f>IF((($A395="")*($B395=""))+((MID($Y395,1,4)&lt;&gt;"Wahl")*(Deckblatt!$C$14='WK-Vorlagen'!$C$82))+(Deckblatt!$C$14&lt;&gt;'WK-Vorlagen'!$C$82),"",IF(ISERROR(MATCH(VALUE(MID(G395,1,2)),Schwierigkeitsstufen!$G$7:$G$19,0)),"Gerät falsch",LOOKUP(VALUE(MID(G395,1,2)),Schwierigkeitsstufen!$G$7:$G$19,Schwierigkeitsstufen!$H$7:$H$19)))</f>
        <v/>
      </c>
      <c r="AB395" s="250" t="str">
        <f>IF((($A395="")*($B395=""))+((MID($Y395,1,4)&lt;&gt;"Wahl")*(Deckblatt!$C$14='WK-Vorlagen'!$C$82))+(Deckblatt!$C$14&lt;&gt;'WK-Vorlagen'!$C$82),"",IF(ISERROR(MATCH(VALUE(MID(H395,1,2)),Schwierigkeitsstufen!$G$7:$G$19,0)),"Gerät falsch",LOOKUP(VALUE(MID(H395,1,2)),Schwierigkeitsstufen!$G$7:$G$19,Schwierigkeitsstufen!$H$7:$H$19)))</f>
        <v/>
      </c>
      <c r="AC395" s="250" t="str">
        <f>IF((($A395="")*($B395=""))+((MID($Y395,1,4)&lt;&gt;"Wahl")*(Deckblatt!$C$14='WK-Vorlagen'!$C$82))+(Deckblatt!$C$14&lt;&gt;'WK-Vorlagen'!$C$82),"",IF(ISERROR(MATCH(VALUE(MID(I395,1,2)),Schwierigkeitsstufen!$G$7:$G$19,0)),"Gerät falsch",LOOKUP(VALUE(MID(I395,1,2)),Schwierigkeitsstufen!$G$7:$G$19,Schwierigkeitsstufen!$H$7:$H$19)))</f>
        <v/>
      </c>
      <c r="AD395" s="251" t="str">
        <f>IF((($A395="")*($B395=""))+((MID($Y395,1,4)&lt;&gt;"Wahl")*(Deckblatt!$C$14='WK-Vorlagen'!$C$82))+(Deckblatt!$C$14&lt;&gt;'WK-Vorlagen'!$C$82),"",IF(ISERROR(MATCH(VALUE(MID(J395,1,2)),Schwierigkeitsstufen!$G$7:$G$19,0)),"Gerät falsch",LOOKUP(VALUE(MID(J395,1,2)),Schwierigkeitsstufen!$G$7:$G$19,Schwierigkeitsstufen!$H$7:$H$19)))</f>
        <v/>
      </c>
      <c r="AE395" s="211"/>
      <c r="AG395" s="221" t="str">
        <f t="shared" si="54"/>
        <v/>
      </c>
      <c r="AH395" s="222" t="str">
        <f t="shared" si="56"/>
        <v/>
      </c>
      <c r="AI395" s="220">
        <f t="shared" si="61"/>
        <v>4</v>
      </c>
      <c r="AJ395" s="222">
        <f t="shared" si="57"/>
        <v>0</v>
      </c>
      <c r="AK395" s="299" t="str">
        <f>IF(ISERROR(LOOKUP(E395,WKNrListe,Übersicht!$R$7:$R$46)),"-",LOOKUP(E395,WKNrListe,Übersicht!$R$7:$R$46))</f>
        <v>-</v>
      </c>
      <c r="AL395" s="299" t="str">
        <f t="shared" si="60"/>
        <v>-</v>
      </c>
      <c r="AM395" s="303"/>
      <c r="AN395" s="174" t="str">
        <f t="shared" si="53"/>
        <v>Leer</v>
      </c>
    </row>
    <row r="396" spans="1:40" s="174" customFormat="1" ht="15" customHeight="1">
      <c r="A396" s="63"/>
      <c r="B396" s="63"/>
      <c r="C396" s="84"/>
      <c r="D396" s="85"/>
      <c r="E396" s="62"/>
      <c r="F396" s="62"/>
      <c r="G396" s="62"/>
      <c r="H396" s="62"/>
      <c r="I396" s="62"/>
      <c r="J396" s="62"/>
      <c r="K396" s="62"/>
      <c r="L396" s="62"/>
      <c r="M396" s="62"/>
      <c r="N396" s="62"/>
      <c r="O396" s="62"/>
      <c r="P396" s="62"/>
      <c r="Q396" s="62"/>
      <c r="R396" s="62"/>
      <c r="S396" s="258"/>
      <c r="T396" s="248" t="str">
        <f t="shared" si="58"/>
        <v/>
      </c>
      <c r="U396" s="249" t="str">
        <f t="shared" si="59"/>
        <v/>
      </c>
      <c r="V396" s="294" t="str">
        <f t="shared" si="55"/>
        <v/>
      </c>
      <c r="W396" s="294" t="str">
        <f>IF(((E396="")+(F396="")),"",IF(VLOOKUP(F396,Mannschaften!$A$1:$B$54,2,FALSE)&lt;&gt;E396,"Reiter Mannschaften füllen",""))</f>
        <v/>
      </c>
      <c r="X396" s="248" t="str">
        <f>IF(ISBLANK(C396),"",IF((U396&gt;(LOOKUP(E396,WKNrListe,Übersicht!$O$7:$O$46)))+(U396&lt;(LOOKUP(E396,WKNrListe,Übersicht!$P$7:$P$46))),"JG falsch",""))</f>
        <v/>
      </c>
      <c r="Y396" s="255" t="str">
        <f>IF((A396="")*(B396=""),"",IF(ISERROR(MATCH(E396,WKNrListe,0)),"WK falsch",LOOKUP(E396,WKNrListe,Übersicht!$B$7:$B$46)))</f>
        <v/>
      </c>
      <c r="Z396" s="269" t="str">
        <f>IF(((AJ396=0)*(AH396&lt;&gt;"")*(AK396="-"))+((AJ396&lt;&gt;0)*(AH396&lt;&gt;"")*(AK396="-")),IF(AG396="X",Übersicht!$C$70,Übersicht!$C$69),"-")</f>
        <v>-</v>
      </c>
      <c r="AA396" s="252" t="str">
        <f>IF((($A396="")*($B396=""))+((MID($Y396,1,4)&lt;&gt;"Wahl")*(Deckblatt!$C$14='WK-Vorlagen'!$C$82))+(Deckblatt!$C$14&lt;&gt;'WK-Vorlagen'!$C$82),"",IF(ISERROR(MATCH(VALUE(MID(G396,1,2)),Schwierigkeitsstufen!$G$7:$G$19,0)),"Gerät falsch",LOOKUP(VALUE(MID(G396,1,2)),Schwierigkeitsstufen!$G$7:$G$19,Schwierigkeitsstufen!$H$7:$H$19)))</f>
        <v/>
      </c>
      <c r="AB396" s="250" t="str">
        <f>IF((($A396="")*($B396=""))+((MID($Y396,1,4)&lt;&gt;"Wahl")*(Deckblatt!$C$14='WK-Vorlagen'!$C$82))+(Deckblatt!$C$14&lt;&gt;'WK-Vorlagen'!$C$82),"",IF(ISERROR(MATCH(VALUE(MID(H396,1,2)),Schwierigkeitsstufen!$G$7:$G$19,0)),"Gerät falsch",LOOKUP(VALUE(MID(H396,1,2)),Schwierigkeitsstufen!$G$7:$G$19,Schwierigkeitsstufen!$H$7:$H$19)))</f>
        <v/>
      </c>
      <c r="AC396" s="250" t="str">
        <f>IF((($A396="")*($B396=""))+((MID($Y396,1,4)&lt;&gt;"Wahl")*(Deckblatt!$C$14='WK-Vorlagen'!$C$82))+(Deckblatt!$C$14&lt;&gt;'WK-Vorlagen'!$C$82),"",IF(ISERROR(MATCH(VALUE(MID(I396,1,2)),Schwierigkeitsstufen!$G$7:$G$19,0)),"Gerät falsch",LOOKUP(VALUE(MID(I396,1,2)),Schwierigkeitsstufen!$G$7:$G$19,Schwierigkeitsstufen!$H$7:$H$19)))</f>
        <v/>
      </c>
      <c r="AD396" s="251" t="str">
        <f>IF((($A396="")*($B396=""))+((MID($Y396,1,4)&lt;&gt;"Wahl")*(Deckblatt!$C$14='WK-Vorlagen'!$C$82))+(Deckblatt!$C$14&lt;&gt;'WK-Vorlagen'!$C$82),"",IF(ISERROR(MATCH(VALUE(MID(J396,1,2)),Schwierigkeitsstufen!$G$7:$G$19,0)),"Gerät falsch",LOOKUP(VALUE(MID(J396,1,2)),Schwierigkeitsstufen!$G$7:$G$19,Schwierigkeitsstufen!$H$7:$H$19)))</f>
        <v/>
      </c>
      <c r="AE396" s="211"/>
      <c r="AG396" s="221" t="str">
        <f t="shared" si="54"/>
        <v/>
      </c>
      <c r="AH396" s="222" t="str">
        <f t="shared" si="56"/>
        <v/>
      </c>
      <c r="AI396" s="220">
        <f t="shared" si="61"/>
        <v>4</v>
      </c>
      <c r="AJ396" s="222">
        <f t="shared" si="57"/>
        <v>0</v>
      </c>
      <c r="AK396" s="299" t="str">
        <f>IF(ISERROR(LOOKUP(E396,WKNrListe,Übersicht!$R$7:$R$46)),"-",LOOKUP(E396,WKNrListe,Übersicht!$R$7:$R$46))</f>
        <v>-</v>
      </c>
      <c r="AL396" s="299" t="str">
        <f t="shared" si="60"/>
        <v>-</v>
      </c>
      <c r="AM396" s="303"/>
      <c r="AN396" s="174" t="str">
        <f t="shared" si="53"/>
        <v>Leer</v>
      </c>
    </row>
    <row r="397" spans="1:40" s="174" customFormat="1" ht="15" customHeight="1">
      <c r="A397" s="63"/>
      <c r="B397" s="63"/>
      <c r="C397" s="84"/>
      <c r="D397" s="85"/>
      <c r="E397" s="62"/>
      <c r="F397" s="62"/>
      <c r="G397" s="62"/>
      <c r="H397" s="62"/>
      <c r="I397" s="62"/>
      <c r="J397" s="62"/>
      <c r="K397" s="62"/>
      <c r="L397" s="62"/>
      <c r="M397" s="62"/>
      <c r="N397" s="62"/>
      <c r="O397" s="62"/>
      <c r="P397" s="62"/>
      <c r="Q397" s="62"/>
      <c r="R397" s="62"/>
      <c r="S397" s="258"/>
      <c r="T397" s="248" t="str">
        <f t="shared" si="58"/>
        <v/>
      </c>
      <c r="U397" s="249" t="str">
        <f t="shared" si="59"/>
        <v/>
      </c>
      <c r="V397" s="294" t="str">
        <f t="shared" si="55"/>
        <v/>
      </c>
      <c r="W397" s="294" t="str">
        <f>IF(((E397="")+(F397="")),"",IF(VLOOKUP(F397,Mannschaften!$A$1:$B$54,2,FALSE)&lt;&gt;E397,"Reiter Mannschaften füllen",""))</f>
        <v/>
      </c>
      <c r="X397" s="248" t="str">
        <f>IF(ISBLANK(C397),"",IF((U397&gt;(LOOKUP(E397,WKNrListe,Übersicht!$O$7:$O$46)))+(U397&lt;(LOOKUP(E397,WKNrListe,Übersicht!$P$7:$P$46))),"JG falsch",""))</f>
        <v/>
      </c>
      <c r="Y397" s="255" t="str">
        <f>IF((A397="")*(B397=""),"",IF(ISERROR(MATCH(E397,WKNrListe,0)),"WK falsch",LOOKUP(E397,WKNrListe,Übersicht!$B$7:$B$46)))</f>
        <v/>
      </c>
      <c r="Z397" s="269" t="str">
        <f>IF(((AJ397=0)*(AH397&lt;&gt;"")*(AK397="-"))+((AJ397&lt;&gt;0)*(AH397&lt;&gt;"")*(AK397="-")),IF(AG397="X",Übersicht!$C$70,Übersicht!$C$69),"-")</f>
        <v>-</v>
      </c>
      <c r="AA397" s="252" t="str">
        <f>IF((($A397="")*($B397=""))+((MID($Y397,1,4)&lt;&gt;"Wahl")*(Deckblatt!$C$14='WK-Vorlagen'!$C$82))+(Deckblatt!$C$14&lt;&gt;'WK-Vorlagen'!$C$82),"",IF(ISERROR(MATCH(VALUE(MID(G397,1,2)),Schwierigkeitsstufen!$G$7:$G$19,0)),"Gerät falsch",LOOKUP(VALUE(MID(G397,1,2)),Schwierigkeitsstufen!$G$7:$G$19,Schwierigkeitsstufen!$H$7:$H$19)))</f>
        <v/>
      </c>
      <c r="AB397" s="250" t="str">
        <f>IF((($A397="")*($B397=""))+((MID($Y397,1,4)&lt;&gt;"Wahl")*(Deckblatt!$C$14='WK-Vorlagen'!$C$82))+(Deckblatt!$C$14&lt;&gt;'WK-Vorlagen'!$C$82),"",IF(ISERROR(MATCH(VALUE(MID(H397,1,2)),Schwierigkeitsstufen!$G$7:$G$19,0)),"Gerät falsch",LOOKUP(VALUE(MID(H397,1,2)),Schwierigkeitsstufen!$G$7:$G$19,Schwierigkeitsstufen!$H$7:$H$19)))</f>
        <v/>
      </c>
      <c r="AC397" s="250" t="str">
        <f>IF((($A397="")*($B397=""))+((MID($Y397,1,4)&lt;&gt;"Wahl")*(Deckblatt!$C$14='WK-Vorlagen'!$C$82))+(Deckblatt!$C$14&lt;&gt;'WK-Vorlagen'!$C$82),"",IF(ISERROR(MATCH(VALUE(MID(I397,1,2)),Schwierigkeitsstufen!$G$7:$G$19,0)),"Gerät falsch",LOOKUP(VALUE(MID(I397,1,2)),Schwierigkeitsstufen!$G$7:$G$19,Schwierigkeitsstufen!$H$7:$H$19)))</f>
        <v/>
      </c>
      <c r="AD397" s="251" t="str">
        <f>IF((($A397="")*($B397=""))+((MID($Y397,1,4)&lt;&gt;"Wahl")*(Deckblatt!$C$14='WK-Vorlagen'!$C$82))+(Deckblatt!$C$14&lt;&gt;'WK-Vorlagen'!$C$82),"",IF(ISERROR(MATCH(VALUE(MID(J397,1,2)),Schwierigkeitsstufen!$G$7:$G$19,0)),"Gerät falsch",LOOKUP(VALUE(MID(J397,1,2)),Schwierigkeitsstufen!$G$7:$G$19,Schwierigkeitsstufen!$H$7:$H$19)))</f>
        <v/>
      </c>
      <c r="AE397" s="211"/>
      <c r="AG397" s="221" t="str">
        <f t="shared" si="54"/>
        <v/>
      </c>
      <c r="AH397" s="222" t="str">
        <f t="shared" si="56"/>
        <v/>
      </c>
      <c r="AI397" s="220">
        <f t="shared" si="61"/>
        <v>4</v>
      </c>
      <c r="AJ397" s="222">
        <f t="shared" si="57"/>
        <v>0</v>
      </c>
      <c r="AK397" s="299" t="str">
        <f>IF(ISERROR(LOOKUP(E397,WKNrListe,Übersicht!$R$7:$R$46)),"-",LOOKUP(E397,WKNrListe,Übersicht!$R$7:$R$46))</f>
        <v>-</v>
      </c>
      <c r="AL397" s="299" t="str">
        <f t="shared" si="60"/>
        <v>-</v>
      </c>
      <c r="AM397" s="303"/>
      <c r="AN397" s="174" t="str">
        <f t="shared" si="53"/>
        <v>Leer</v>
      </c>
    </row>
    <row r="398" spans="1:40" s="174" customFormat="1" ht="15" customHeight="1">
      <c r="A398" s="63"/>
      <c r="B398" s="63"/>
      <c r="C398" s="84"/>
      <c r="D398" s="85"/>
      <c r="E398" s="62"/>
      <c r="F398" s="62"/>
      <c r="G398" s="62"/>
      <c r="H398" s="62"/>
      <c r="I398" s="62"/>
      <c r="J398" s="62"/>
      <c r="K398" s="62"/>
      <c r="L398" s="62"/>
      <c r="M398" s="62"/>
      <c r="N398" s="62"/>
      <c r="O398" s="62"/>
      <c r="P398" s="62"/>
      <c r="Q398" s="62"/>
      <c r="R398" s="62"/>
      <c r="S398" s="258"/>
      <c r="T398" s="248" t="str">
        <f t="shared" si="58"/>
        <v/>
      </c>
      <c r="U398" s="249" t="str">
        <f t="shared" si="59"/>
        <v/>
      </c>
      <c r="V398" s="294" t="str">
        <f t="shared" si="55"/>
        <v/>
      </c>
      <c r="W398" s="294" t="str">
        <f>IF(((E398="")+(F398="")),"",IF(VLOOKUP(F398,Mannschaften!$A$1:$B$54,2,FALSE)&lt;&gt;E398,"Reiter Mannschaften füllen",""))</f>
        <v/>
      </c>
      <c r="X398" s="248" t="str">
        <f>IF(ISBLANK(C398),"",IF((U398&gt;(LOOKUP(E398,WKNrListe,Übersicht!$O$7:$O$46)))+(U398&lt;(LOOKUP(E398,WKNrListe,Übersicht!$P$7:$P$46))),"JG falsch",""))</f>
        <v/>
      </c>
      <c r="Y398" s="255" t="str">
        <f>IF((A398="")*(B398=""),"",IF(ISERROR(MATCH(E398,WKNrListe,0)),"WK falsch",LOOKUP(E398,WKNrListe,Übersicht!$B$7:$B$46)))</f>
        <v/>
      </c>
      <c r="Z398" s="269" t="str">
        <f>IF(((AJ398=0)*(AH398&lt;&gt;"")*(AK398="-"))+((AJ398&lt;&gt;0)*(AH398&lt;&gt;"")*(AK398="-")),IF(AG398="X",Übersicht!$C$70,Übersicht!$C$69),"-")</f>
        <v>-</v>
      </c>
      <c r="AA398" s="252" t="str">
        <f>IF((($A398="")*($B398=""))+((MID($Y398,1,4)&lt;&gt;"Wahl")*(Deckblatt!$C$14='WK-Vorlagen'!$C$82))+(Deckblatt!$C$14&lt;&gt;'WK-Vorlagen'!$C$82),"",IF(ISERROR(MATCH(VALUE(MID(G398,1,2)),Schwierigkeitsstufen!$G$7:$G$19,0)),"Gerät falsch",LOOKUP(VALUE(MID(G398,1,2)),Schwierigkeitsstufen!$G$7:$G$19,Schwierigkeitsstufen!$H$7:$H$19)))</f>
        <v/>
      </c>
      <c r="AB398" s="250" t="str">
        <f>IF((($A398="")*($B398=""))+((MID($Y398,1,4)&lt;&gt;"Wahl")*(Deckblatt!$C$14='WK-Vorlagen'!$C$82))+(Deckblatt!$C$14&lt;&gt;'WK-Vorlagen'!$C$82),"",IF(ISERROR(MATCH(VALUE(MID(H398,1,2)),Schwierigkeitsstufen!$G$7:$G$19,0)),"Gerät falsch",LOOKUP(VALUE(MID(H398,1,2)),Schwierigkeitsstufen!$G$7:$G$19,Schwierigkeitsstufen!$H$7:$H$19)))</f>
        <v/>
      </c>
      <c r="AC398" s="250" t="str">
        <f>IF((($A398="")*($B398=""))+((MID($Y398,1,4)&lt;&gt;"Wahl")*(Deckblatt!$C$14='WK-Vorlagen'!$C$82))+(Deckblatt!$C$14&lt;&gt;'WK-Vorlagen'!$C$82),"",IF(ISERROR(MATCH(VALUE(MID(I398,1,2)),Schwierigkeitsstufen!$G$7:$G$19,0)),"Gerät falsch",LOOKUP(VALUE(MID(I398,1,2)),Schwierigkeitsstufen!$G$7:$G$19,Schwierigkeitsstufen!$H$7:$H$19)))</f>
        <v/>
      </c>
      <c r="AD398" s="251" t="str">
        <f>IF((($A398="")*($B398=""))+((MID($Y398,1,4)&lt;&gt;"Wahl")*(Deckblatt!$C$14='WK-Vorlagen'!$C$82))+(Deckblatt!$C$14&lt;&gt;'WK-Vorlagen'!$C$82),"",IF(ISERROR(MATCH(VALUE(MID(J398,1,2)),Schwierigkeitsstufen!$G$7:$G$19,0)),"Gerät falsch",LOOKUP(VALUE(MID(J398,1,2)),Schwierigkeitsstufen!$G$7:$G$19,Schwierigkeitsstufen!$H$7:$H$19)))</f>
        <v/>
      </c>
      <c r="AE398" s="211"/>
      <c r="AG398" s="221" t="str">
        <f t="shared" si="54"/>
        <v/>
      </c>
      <c r="AH398" s="222" t="str">
        <f t="shared" si="56"/>
        <v/>
      </c>
      <c r="AI398" s="220">
        <f t="shared" si="61"/>
        <v>4</v>
      </c>
      <c r="AJ398" s="222">
        <f t="shared" si="57"/>
        <v>0</v>
      </c>
      <c r="AK398" s="299" t="str">
        <f>IF(ISERROR(LOOKUP(E398,WKNrListe,Übersicht!$R$7:$R$46)),"-",LOOKUP(E398,WKNrListe,Übersicht!$R$7:$R$46))</f>
        <v>-</v>
      </c>
      <c r="AL398" s="299" t="str">
        <f t="shared" si="60"/>
        <v>-</v>
      </c>
      <c r="AM398" s="303"/>
      <c r="AN398" s="174" t="str">
        <f t="shared" si="53"/>
        <v>Leer</v>
      </c>
    </row>
    <row r="399" spans="1:40" s="174" customFormat="1" ht="15" customHeight="1">
      <c r="A399" s="63"/>
      <c r="B399" s="63"/>
      <c r="C399" s="84"/>
      <c r="D399" s="85"/>
      <c r="E399" s="62"/>
      <c r="F399" s="62"/>
      <c r="G399" s="62"/>
      <c r="H399" s="62"/>
      <c r="I399" s="62"/>
      <c r="J399" s="62"/>
      <c r="K399" s="62"/>
      <c r="L399" s="62"/>
      <c r="M399" s="62"/>
      <c r="N399" s="62"/>
      <c r="O399" s="62"/>
      <c r="P399" s="62"/>
      <c r="Q399" s="62"/>
      <c r="R399" s="62"/>
      <c r="S399" s="258"/>
      <c r="T399" s="248" t="str">
        <f t="shared" si="58"/>
        <v/>
      </c>
      <c r="U399" s="249" t="str">
        <f t="shared" si="59"/>
        <v/>
      </c>
      <c r="V399" s="294" t="str">
        <f t="shared" si="55"/>
        <v/>
      </c>
      <c r="W399" s="294" t="str">
        <f>IF(((E399="")+(F399="")),"",IF(VLOOKUP(F399,Mannschaften!$A$1:$B$54,2,FALSE)&lt;&gt;E399,"Reiter Mannschaften füllen",""))</f>
        <v/>
      </c>
      <c r="X399" s="248" t="str">
        <f>IF(ISBLANK(C399),"",IF((U399&gt;(LOOKUP(E399,WKNrListe,Übersicht!$O$7:$O$46)))+(U399&lt;(LOOKUP(E399,WKNrListe,Übersicht!$P$7:$P$46))),"JG falsch",""))</f>
        <v/>
      </c>
      <c r="Y399" s="255" t="str">
        <f>IF((A399="")*(B399=""),"",IF(ISERROR(MATCH(E399,WKNrListe,0)),"WK falsch",LOOKUP(E399,WKNrListe,Übersicht!$B$7:$B$46)))</f>
        <v/>
      </c>
      <c r="Z399" s="269" t="str">
        <f>IF(((AJ399=0)*(AH399&lt;&gt;"")*(AK399="-"))+((AJ399&lt;&gt;0)*(AH399&lt;&gt;"")*(AK399="-")),IF(AG399="X",Übersicht!$C$70,Übersicht!$C$69),"-")</f>
        <v>-</v>
      </c>
      <c r="AA399" s="252" t="str">
        <f>IF((($A399="")*($B399=""))+((MID($Y399,1,4)&lt;&gt;"Wahl")*(Deckblatt!$C$14='WK-Vorlagen'!$C$82))+(Deckblatt!$C$14&lt;&gt;'WK-Vorlagen'!$C$82),"",IF(ISERROR(MATCH(VALUE(MID(G399,1,2)),Schwierigkeitsstufen!$G$7:$G$19,0)),"Gerät falsch",LOOKUP(VALUE(MID(G399,1,2)),Schwierigkeitsstufen!$G$7:$G$19,Schwierigkeitsstufen!$H$7:$H$19)))</f>
        <v/>
      </c>
      <c r="AB399" s="250" t="str">
        <f>IF((($A399="")*($B399=""))+((MID($Y399,1,4)&lt;&gt;"Wahl")*(Deckblatt!$C$14='WK-Vorlagen'!$C$82))+(Deckblatt!$C$14&lt;&gt;'WK-Vorlagen'!$C$82),"",IF(ISERROR(MATCH(VALUE(MID(H399,1,2)),Schwierigkeitsstufen!$G$7:$G$19,0)),"Gerät falsch",LOOKUP(VALUE(MID(H399,1,2)),Schwierigkeitsstufen!$G$7:$G$19,Schwierigkeitsstufen!$H$7:$H$19)))</f>
        <v/>
      </c>
      <c r="AC399" s="250" t="str">
        <f>IF((($A399="")*($B399=""))+((MID($Y399,1,4)&lt;&gt;"Wahl")*(Deckblatt!$C$14='WK-Vorlagen'!$C$82))+(Deckblatt!$C$14&lt;&gt;'WK-Vorlagen'!$C$82),"",IF(ISERROR(MATCH(VALUE(MID(I399,1,2)),Schwierigkeitsstufen!$G$7:$G$19,0)),"Gerät falsch",LOOKUP(VALUE(MID(I399,1,2)),Schwierigkeitsstufen!$G$7:$G$19,Schwierigkeitsstufen!$H$7:$H$19)))</f>
        <v/>
      </c>
      <c r="AD399" s="251" t="str">
        <f>IF((($A399="")*($B399=""))+((MID($Y399,1,4)&lt;&gt;"Wahl")*(Deckblatt!$C$14='WK-Vorlagen'!$C$82))+(Deckblatt!$C$14&lt;&gt;'WK-Vorlagen'!$C$82),"",IF(ISERROR(MATCH(VALUE(MID(J399,1,2)),Schwierigkeitsstufen!$G$7:$G$19,0)),"Gerät falsch",LOOKUP(VALUE(MID(J399,1,2)),Schwierigkeitsstufen!$G$7:$G$19,Schwierigkeitsstufen!$H$7:$H$19)))</f>
        <v/>
      </c>
      <c r="AE399" s="211"/>
      <c r="AG399" s="221" t="str">
        <f t="shared" si="54"/>
        <v/>
      </c>
      <c r="AH399" s="222" t="str">
        <f t="shared" si="56"/>
        <v/>
      </c>
      <c r="AI399" s="220">
        <f t="shared" si="61"/>
        <v>4</v>
      </c>
      <c r="AJ399" s="222">
        <f t="shared" si="57"/>
        <v>0</v>
      </c>
      <c r="AK399" s="299" t="str">
        <f>IF(ISERROR(LOOKUP(E399,WKNrListe,Übersicht!$R$7:$R$46)),"-",LOOKUP(E399,WKNrListe,Übersicht!$R$7:$R$46))</f>
        <v>-</v>
      </c>
      <c r="AL399" s="299" t="str">
        <f t="shared" si="60"/>
        <v>-</v>
      </c>
      <c r="AM399" s="303"/>
      <c r="AN399" s="174" t="str">
        <f t="shared" si="53"/>
        <v>Leer</v>
      </c>
    </row>
    <row r="400" spans="1:40" s="174" customFormat="1" ht="15" customHeight="1">
      <c r="A400" s="63"/>
      <c r="B400" s="63"/>
      <c r="C400" s="84"/>
      <c r="D400" s="85"/>
      <c r="E400" s="62"/>
      <c r="F400" s="62"/>
      <c r="G400" s="62"/>
      <c r="H400" s="62"/>
      <c r="I400" s="62"/>
      <c r="J400" s="62"/>
      <c r="K400" s="62"/>
      <c r="L400" s="62"/>
      <c r="M400" s="62"/>
      <c r="N400" s="62"/>
      <c r="O400" s="62"/>
      <c r="P400" s="62"/>
      <c r="Q400" s="62"/>
      <c r="R400" s="62"/>
      <c r="S400" s="258"/>
      <c r="T400" s="248" t="str">
        <f t="shared" si="58"/>
        <v/>
      </c>
      <c r="U400" s="249" t="str">
        <f t="shared" si="59"/>
        <v/>
      </c>
      <c r="V400" s="294" t="str">
        <f t="shared" si="55"/>
        <v/>
      </c>
      <c r="W400" s="294" t="str">
        <f>IF(((E400="")+(F400="")),"",IF(VLOOKUP(F400,Mannschaften!$A$1:$B$54,2,FALSE)&lt;&gt;E400,"Reiter Mannschaften füllen",""))</f>
        <v/>
      </c>
      <c r="X400" s="248" t="str">
        <f>IF(ISBLANK(C400),"",IF((U400&gt;(LOOKUP(E400,WKNrListe,Übersicht!$O$7:$O$46)))+(U400&lt;(LOOKUP(E400,WKNrListe,Übersicht!$P$7:$P$46))),"JG falsch",""))</f>
        <v/>
      </c>
      <c r="Y400" s="255" t="str">
        <f>IF((A400="")*(B400=""),"",IF(ISERROR(MATCH(E400,WKNrListe,0)),"WK falsch",LOOKUP(E400,WKNrListe,Übersicht!$B$7:$B$46)))</f>
        <v/>
      </c>
      <c r="Z400" s="269" t="str">
        <f>IF(((AJ400=0)*(AH400&lt;&gt;"")*(AK400="-"))+((AJ400&lt;&gt;0)*(AH400&lt;&gt;"")*(AK400="-")),IF(AG400="X",Übersicht!$C$70,Übersicht!$C$69),"-")</f>
        <v>-</v>
      </c>
      <c r="AA400" s="252" t="str">
        <f>IF((($A400="")*($B400=""))+((MID($Y400,1,4)&lt;&gt;"Wahl")*(Deckblatt!$C$14='WK-Vorlagen'!$C$82))+(Deckblatt!$C$14&lt;&gt;'WK-Vorlagen'!$C$82),"",IF(ISERROR(MATCH(VALUE(MID(G400,1,2)),Schwierigkeitsstufen!$G$7:$G$19,0)),"Gerät falsch",LOOKUP(VALUE(MID(G400,1,2)),Schwierigkeitsstufen!$G$7:$G$19,Schwierigkeitsstufen!$H$7:$H$19)))</f>
        <v/>
      </c>
      <c r="AB400" s="250" t="str">
        <f>IF((($A400="")*($B400=""))+((MID($Y400,1,4)&lt;&gt;"Wahl")*(Deckblatt!$C$14='WK-Vorlagen'!$C$82))+(Deckblatt!$C$14&lt;&gt;'WK-Vorlagen'!$C$82),"",IF(ISERROR(MATCH(VALUE(MID(H400,1,2)),Schwierigkeitsstufen!$G$7:$G$19,0)),"Gerät falsch",LOOKUP(VALUE(MID(H400,1,2)),Schwierigkeitsstufen!$G$7:$G$19,Schwierigkeitsstufen!$H$7:$H$19)))</f>
        <v/>
      </c>
      <c r="AC400" s="250" t="str">
        <f>IF((($A400="")*($B400=""))+((MID($Y400,1,4)&lt;&gt;"Wahl")*(Deckblatt!$C$14='WK-Vorlagen'!$C$82))+(Deckblatt!$C$14&lt;&gt;'WK-Vorlagen'!$C$82),"",IF(ISERROR(MATCH(VALUE(MID(I400,1,2)),Schwierigkeitsstufen!$G$7:$G$19,0)),"Gerät falsch",LOOKUP(VALUE(MID(I400,1,2)),Schwierigkeitsstufen!$G$7:$G$19,Schwierigkeitsstufen!$H$7:$H$19)))</f>
        <v/>
      </c>
      <c r="AD400" s="251" t="str">
        <f>IF((($A400="")*($B400=""))+((MID($Y400,1,4)&lt;&gt;"Wahl")*(Deckblatt!$C$14='WK-Vorlagen'!$C$82))+(Deckblatt!$C$14&lt;&gt;'WK-Vorlagen'!$C$82),"",IF(ISERROR(MATCH(VALUE(MID(J400,1,2)),Schwierigkeitsstufen!$G$7:$G$19,0)),"Gerät falsch",LOOKUP(VALUE(MID(J400,1,2)),Schwierigkeitsstufen!$G$7:$G$19,Schwierigkeitsstufen!$H$7:$H$19)))</f>
        <v/>
      </c>
      <c r="AE400" s="211"/>
      <c r="AG400" s="221" t="str">
        <f t="shared" si="54"/>
        <v/>
      </c>
      <c r="AH400" s="222" t="str">
        <f t="shared" si="56"/>
        <v/>
      </c>
      <c r="AI400" s="220">
        <f t="shared" si="61"/>
        <v>4</v>
      </c>
      <c r="AJ400" s="222">
        <f t="shared" si="57"/>
        <v>0</v>
      </c>
      <c r="AK400" s="299" t="str">
        <f>IF(ISERROR(LOOKUP(E400,WKNrListe,Übersicht!$R$7:$R$46)),"-",LOOKUP(E400,WKNrListe,Übersicht!$R$7:$R$46))</f>
        <v>-</v>
      </c>
      <c r="AL400" s="299" t="str">
        <f t="shared" si="60"/>
        <v>-</v>
      </c>
      <c r="AM400" s="303"/>
      <c r="AN400" s="174" t="str">
        <f t="shared" si="53"/>
        <v>Leer</v>
      </c>
    </row>
    <row r="401" spans="1:40" s="174" customFormat="1" ht="15" customHeight="1">
      <c r="A401" s="63"/>
      <c r="B401" s="63"/>
      <c r="C401" s="84"/>
      <c r="D401" s="85"/>
      <c r="E401" s="62"/>
      <c r="F401" s="62"/>
      <c r="G401" s="62"/>
      <c r="H401" s="62"/>
      <c r="I401" s="62"/>
      <c r="J401" s="62"/>
      <c r="K401" s="62"/>
      <c r="L401" s="62"/>
      <c r="M401" s="62"/>
      <c r="N401" s="62"/>
      <c r="O401" s="62"/>
      <c r="P401" s="62"/>
      <c r="Q401" s="62"/>
      <c r="R401" s="62"/>
      <c r="S401" s="258"/>
      <c r="T401" s="248" t="str">
        <f t="shared" si="58"/>
        <v/>
      </c>
      <c r="U401" s="249" t="str">
        <f t="shared" si="59"/>
        <v/>
      </c>
      <c r="V401" s="294" t="str">
        <f t="shared" si="55"/>
        <v/>
      </c>
      <c r="W401" s="294" t="str">
        <f>IF(((E401="")+(F401="")),"",IF(VLOOKUP(F401,Mannschaften!$A$1:$B$54,2,FALSE)&lt;&gt;E401,"Reiter Mannschaften füllen",""))</f>
        <v/>
      </c>
      <c r="X401" s="248" t="str">
        <f>IF(ISBLANK(C401),"",IF((U401&gt;(LOOKUP(E401,WKNrListe,Übersicht!$O$7:$O$46)))+(U401&lt;(LOOKUP(E401,WKNrListe,Übersicht!$P$7:$P$46))),"JG falsch",""))</f>
        <v/>
      </c>
      <c r="Y401" s="255" t="str">
        <f>IF((A401="")*(B401=""),"",IF(ISERROR(MATCH(E401,WKNrListe,0)),"WK falsch",LOOKUP(E401,WKNrListe,Übersicht!$B$7:$B$46)))</f>
        <v/>
      </c>
      <c r="Z401" s="269" t="str">
        <f>IF(((AJ401=0)*(AH401&lt;&gt;"")*(AK401="-"))+((AJ401&lt;&gt;0)*(AH401&lt;&gt;"")*(AK401="-")),IF(AG401="X",Übersicht!$C$70,Übersicht!$C$69),"-")</f>
        <v>-</v>
      </c>
      <c r="AA401" s="252" t="str">
        <f>IF((($A401="")*($B401=""))+((MID($Y401,1,4)&lt;&gt;"Wahl")*(Deckblatt!$C$14='WK-Vorlagen'!$C$82))+(Deckblatt!$C$14&lt;&gt;'WK-Vorlagen'!$C$82),"",IF(ISERROR(MATCH(VALUE(MID(G401,1,2)),Schwierigkeitsstufen!$G$7:$G$19,0)),"Gerät falsch",LOOKUP(VALUE(MID(G401,1,2)),Schwierigkeitsstufen!$G$7:$G$19,Schwierigkeitsstufen!$H$7:$H$19)))</f>
        <v/>
      </c>
      <c r="AB401" s="250" t="str">
        <f>IF((($A401="")*($B401=""))+((MID($Y401,1,4)&lt;&gt;"Wahl")*(Deckblatt!$C$14='WK-Vorlagen'!$C$82))+(Deckblatt!$C$14&lt;&gt;'WK-Vorlagen'!$C$82),"",IF(ISERROR(MATCH(VALUE(MID(H401,1,2)),Schwierigkeitsstufen!$G$7:$G$19,0)),"Gerät falsch",LOOKUP(VALUE(MID(H401,1,2)),Schwierigkeitsstufen!$G$7:$G$19,Schwierigkeitsstufen!$H$7:$H$19)))</f>
        <v/>
      </c>
      <c r="AC401" s="250" t="str">
        <f>IF((($A401="")*($B401=""))+((MID($Y401,1,4)&lt;&gt;"Wahl")*(Deckblatt!$C$14='WK-Vorlagen'!$C$82))+(Deckblatt!$C$14&lt;&gt;'WK-Vorlagen'!$C$82),"",IF(ISERROR(MATCH(VALUE(MID(I401,1,2)),Schwierigkeitsstufen!$G$7:$G$19,0)),"Gerät falsch",LOOKUP(VALUE(MID(I401,1,2)),Schwierigkeitsstufen!$G$7:$G$19,Schwierigkeitsstufen!$H$7:$H$19)))</f>
        <v/>
      </c>
      <c r="AD401" s="251" t="str">
        <f>IF((($A401="")*($B401=""))+((MID($Y401,1,4)&lt;&gt;"Wahl")*(Deckblatt!$C$14='WK-Vorlagen'!$C$82))+(Deckblatt!$C$14&lt;&gt;'WK-Vorlagen'!$C$82),"",IF(ISERROR(MATCH(VALUE(MID(J401,1,2)),Schwierigkeitsstufen!$G$7:$G$19,0)),"Gerät falsch",LOOKUP(VALUE(MID(J401,1,2)),Schwierigkeitsstufen!$G$7:$G$19,Schwierigkeitsstufen!$H$7:$H$19)))</f>
        <v/>
      </c>
      <c r="AE401" s="211"/>
      <c r="AG401" s="221" t="str">
        <f t="shared" si="54"/>
        <v/>
      </c>
      <c r="AH401" s="222" t="str">
        <f t="shared" si="56"/>
        <v/>
      </c>
      <c r="AI401" s="220">
        <f t="shared" si="61"/>
        <v>4</v>
      </c>
      <c r="AJ401" s="222">
        <f t="shared" si="57"/>
        <v>0</v>
      </c>
      <c r="AK401" s="299" t="str">
        <f>IF(ISERROR(LOOKUP(E401,WKNrListe,Übersicht!$R$7:$R$46)),"-",LOOKUP(E401,WKNrListe,Übersicht!$R$7:$R$46))</f>
        <v>-</v>
      </c>
      <c r="AL401" s="299" t="str">
        <f t="shared" si="60"/>
        <v>-</v>
      </c>
      <c r="AM401" s="303"/>
      <c r="AN401" s="174" t="str">
        <f t="shared" si="53"/>
        <v>Leer</v>
      </c>
    </row>
    <row r="402" spans="1:40" s="174" customFormat="1" ht="15" customHeight="1">
      <c r="A402" s="63"/>
      <c r="B402" s="63"/>
      <c r="C402" s="84"/>
      <c r="D402" s="85"/>
      <c r="E402" s="62"/>
      <c r="F402" s="62"/>
      <c r="G402" s="62"/>
      <c r="H402" s="62"/>
      <c r="I402" s="62"/>
      <c r="J402" s="62"/>
      <c r="K402" s="62"/>
      <c r="L402" s="62"/>
      <c r="M402" s="62"/>
      <c r="N402" s="62"/>
      <c r="O402" s="62"/>
      <c r="P402" s="62"/>
      <c r="Q402" s="62"/>
      <c r="R402" s="62"/>
      <c r="S402" s="258"/>
      <c r="T402" s="248" t="str">
        <f t="shared" si="58"/>
        <v/>
      </c>
      <c r="U402" s="249" t="str">
        <f t="shared" si="59"/>
        <v/>
      </c>
      <c r="V402" s="294" t="str">
        <f t="shared" si="55"/>
        <v/>
      </c>
      <c r="W402" s="294" t="str">
        <f>IF(((E402="")+(F402="")),"",IF(VLOOKUP(F402,Mannschaften!$A$1:$B$54,2,FALSE)&lt;&gt;E402,"Reiter Mannschaften füllen",""))</f>
        <v/>
      </c>
      <c r="X402" s="248" t="str">
        <f>IF(ISBLANK(C402),"",IF((U402&gt;(LOOKUP(E402,WKNrListe,Übersicht!$O$7:$O$46)))+(U402&lt;(LOOKUP(E402,WKNrListe,Übersicht!$P$7:$P$46))),"JG falsch",""))</f>
        <v/>
      </c>
      <c r="Y402" s="255" t="str">
        <f>IF((A402="")*(B402=""),"",IF(ISERROR(MATCH(E402,WKNrListe,0)),"WK falsch",LOOKUP(E402,WKNrListe,Übersicht!$B$7:$B$46)))</f>
        <v/>
      </c>
      <c r="Z402" s="269" t="str">
        <f>IF(((AJ402=0)*(AH402&lt;&gt;"")*(AK402="-"))+((AJ402&lt;&gt;0)*(AH402&lt;&gt;"")*(AK402="-")),IF(AG402="X",Übersicht!$C$70,Übersicht!$C$69),"-")</f>
        <v>-</v>
      </c>
      <c r="AA402" s="252" t="str">
        <f>IF((($A402="")*($B402=""))+((MID($Y402,1,4)&lt;&gt;"Wahl")*(Deckblatt!$C$14='WK-Vorlagen'!$C$82))+(Deckblatt!$C$14&lt;&gt;'WK-Vorlagen'!$C$82),"",IF(ISERROR(MATCH(VALUE(MID(G402,1,2)),Schwierigkeitsstufen!$G$7:$G$19,0)),"Gerät falsch",LOOKUP(VALUE(MID(G402,1,2)),Schwierigkeitsstufen!$G$7:$G$19,Schwierigkeitsstufen!$H$7:$H$19)))</f>
        <v/>
      </c>
      <c r="AB402" s="250" t="str">
        <f>IF((($A402="")*($B402=""))+((MID($Y402,1,4)&lt;&gt;"Wahl")*(Deckblatt!$C$14='WK-Vorlagen'!$C$82))+(Deckblatt!$C$14&lt;&gt;'WK-Vorlagen'!$C$82),"",IF(ISERROR(MATCH(VALUE(MID(H402,1,2)),Schwierigkeitsstufen!$G$7:$G$19,0)),"Gerät falsch",LOOKUP(VALUE(MID(H402,1,2)),Schwierigkeitsstufen!$G$7:$G$19,Schwierigkeitsstufen!$H$7:$H$19)))</f>
        <v/>
      </c>
      <c r="AC402" s="250" t="str">
        <f>IF((($A402="")*($B402=""))+((MID($Y402,1,4)&lt;&gt;"Wahl")*(Deckblatt!$C$14='WK-Vorlagen'!$C$82))+(Deckblatt!$C$14&lt;&gt;'WK-Vorlagen'!$C$82),"",IF(ISERROR(MATCH(VALUE(MID(I402,1,2)),Schwierigkeitsstufen!$G$7:$G$19,0)),"Gerät falsch",LOOKUP(VALUE(MID(I402,1,2)),Schwierigkeitsstufen!$G$7:$G$19,Schwierigkeitsstufen!$H$7:$H$19)))</f>
        <v/>
      </c>
      <c r="AD402" s="251" t="str">
        <f>IF((($A402="")*($B402=""))+((MID($Y402,1,4)&lt;&gt;"Wahl")*(Deckblatt!$C$14='WK-Vorlagen'!$C$82))+(Deckblatt!$C$14&lt;&gt;'WK-Vorlagen'!$C$82),"",IF(ISERROR(MATCH(VALUE(MID(J402,1,2)),Schwierigkeitsstufen!$G$7:$G$19,0)),"Gerät falsch",LOOKUP(VALUE(MID(J402,1,2)),Schwierigkeitsstufen!$G$7:$G$19,Schwierigkeitsstufen!$H$7:$H$19)))</f>
        <v/>
      </c>
      <c r="AE402" s="211"/>
      <c r="AG402" s="221" t="str">
        <f t="shared" si="54"/>
        <v/>
      </c>
      <c r="AH402" s="222" t="str">
        <f t="shared" si="56"/>
        <v/>
      </c>
      <c r="AI402" s="220">
        <f t="shared" si="61"/>
        <v>4</v>
      </c>
      <c r="AJ402" s="222">
        <f t="shared" si="57"/>
        <v>0</v>
      </c>
      <c r="AK402" s="299" t="str">
        <f>IF(ISERROR(LOOKUP(E402,WKNrListe,Übersicht!$R$7:$R$46)),"-",LOOKUP(E402,WKNrListe,Übersicht!$R$7:$R$46))</f>
        <v>-</v>
      </c>
      <c r="AL402" s="299" t="str">
        <f t="shared" si="60"/>
        <v>-</v>
      </c>
      <c r="AM402" s="303"/>
      <c r="AN402" s="174" t="str">
        <f t="shared" si="53"/>
        <v>Leer</v>
      </c>
    </row>
    <row r="403" spans="1:40" s="174" customFormat="1" ht="15" customHeight="1">
      <c r="A403" s="63"/>
      <c r="B403" s="63"/>
      <c r="C403" s="84"/>
      <c r="D403" s="85"/>
      <c r="E403" s="62"/>
      <c r="F403" s="62"/>
      <c r="G403" s="62"/>
      <c r="H403" s="62"/>
      <c r="I403" s="62"/>
      <c r="J403" s="62"/>
      <c r="K403" s="62"/>
      <c r="L403" s="62"/>
      <c r="M403" s="62"/>
      <c r="N403" s="62"/>
      <c r="O403" s="62"/>
      <c r="P403" s="62"/>
      <c r="Q403" s="62"/>
      <c r="R403" s="62"/>
      <c r="S403" s="258"/>
      <c r="T403" s="248" t="str">
        <f t="shared" si="58"/>
        <v/>
      </c>
      <c r="U403" s="249" t="str">
        <f t="shared" si="59"/>
        <v/>
      </c>
      <c r="V403" s="294" t="str">
        <f t="shared" si="55"/>
        <v/>
      </c>
      <c r="W403" s="294" t="str">
        <f>IF(((E403="")+(F403="")),"",IF(VLOOKUP(F403,Mannschaften!$A$1:$B$54,2,FALSE)&lt;&gt;E403,"Reiter Mannschaften füllen",""))</f>
        <v/>
      </c>
      <c r="X403" s="248" t="str">
        <f>IF(ISBLANK(C403),"",IF((U403&gt;(LOOKUP(E403,WKNrListe,Übersicht!$O$7:$O$46)))+(U403&lt;(LOOKUP(E403,WKNrListe,Übersicht!$P$7:$P$46))),"JG falsch",""))</f>
        <v/>
      </c>
      <c r="Y403" s="255" t="str">
        <f>IF((A403="")*(B403=""),"",IF(ISERROR(MATCH(E403,WKNrListe,0)),"WK falsch",LOOKUP(E403,WKNrListe,Übersicht!$B$7:$B$46)))</f>
        <v/>
      </c>
      <c r="Z403" s="269" t="str">
        <f>IF(((AJ403=0)*(AH403&lt;&gt;"")*(AK403="-"))+((AJ403&lt;&gt;0)*(AH403&lt;&gt;"")*(AK403="-")),IF(AG403="X",Übersicht!$C$70,Übersicht!$C$69),"-")</f>
        <v>-</v>
      </c>
      <c r="AA403" s="252" t="str">
        <f>IF((($A403="")*($B403=""))+((MID($Y403,1,4)&lt;&gt;"Wahl")*(Deckblatt!$C$14='WK-Vorlagen'!$C$82))+(Deckblatt!$C$14&lt;&gt;'WK-Vorlagen'!$C$82),"",IF(ISERROR(MATCH(VALUE(MID(G403,1,2)),Schwierigkeitsstufen!$G$7:$G$19,0)),"Gerät falsch",LOOKUP(VALUE(MID(G403,1,2)),Schwierigkeitsstufen!$G$7:$G$19,Schwierigkeitsstufen!$H$7:$H$19)))</f>
        <v/>
      </c>
      <c r="AB403" s="250" t="str">
        <f>IF((($A403="")*($B403=""))+((MID($Y403,1,4)&lt;&gt;"Wahl")*(Deckblatt!$C$14='WK-Vorlagen'!$C$82))+(Deckblatt!$C$14&lt;&gt;'WK-Vorlagen'!$C$82),"",IF(ISERROR(MATCH(VALUE(MID(H403,1,2)),Schwierigkeitsstufen!$G$7:$G$19,0)),"Gerät falsch",LOOKUP(VALUE(MID(H403,1,2)),Schwierigkeitsstufen!$G$7:$G$19,Schwierigkeitsstufen!$H$7:$H$19)))</f>
        <v/>
      </c>
      <c r="AC403" s="250" t="str">
        <f>IF((($A403="")*($B403=""))+((MID($Y403,1,4)&lt;&gt;"Wahl")*(Deckblatt!$C$14='WK-Vorlagen'!$C$82))+(Deckblatt!$C$14&lt;&gt;'WK-Vorlagen'!$C$82),"",IF(ISERROR(MATCH(VALUE(MID(I403,1,2)),Schwierigkeitsstufen!$G$7:$G$19,0)),"Gerät falsch",LOOKUP(VALUE(MID(I403,1,2)),Schwierigkeitsstufen!$G$7:$G$19,Schwierigkeitsstufen!$H$7:$H$19)))</f>
        <v/>
      </c>
      <c r="AD403" s="251" t="str">
        <f>IF((($A403="")*($B403=""))+((MID($Y403,1,4)&lt;&gt;"Wahl")*(Deckblatt!$C$14='WK-Vorlagen'!$C$82))+(Deckblatt!$C$14&lt;&gt;'WK-Vorlagen'!$C$82),"",IF(ISERROR(MATCH(VALUE(MID(J403,1,2)),Schwierigkeitsstufen!$G$7:$G$19,0)),"Gerät falsch",LOOKUP(VALUE(MID(J403,1,2)),Schwierigkeitsstufen!$G$7:$G$19,Schwierigkeitsstufen!$H$7:$H$19)))</f>
        <v/>
      </c>
      <c r="AE403" s="211"/>
      <c r="AG403" s="221" t="str">
        <f t="shared" si="54"/>
        <v/>
      </c>
      <c r="AH403" s="222" t="str">
        <f t="shared" si="56"/>
        <v/>
      </c>
      <c r="AI403" s="220">
        <f t="shared" si="61"/>
        <v>4</v>
      </c>
      <c r="AJ403" s="222">
        <f t="shared" si="57"/>
        <v>0</v>
      </c>
      <c r="AK403" s="299" t="str">
        <f>IF(ISERROR(LOOKUP(E403,WKNrListe,Übersicht!$R$7:$R$46)),"-",LOOKUP(E403,WKNrListe,Übersicht!$R$7:$R$46))</f>
        <v>-</v>
      </c>
      <c r="AL403" s="299" t="str">
        <f t="shared" si="60"/>
        <v>-</v>
      </c>
      <c r="AM403" s="303"/>
      <c r="AN403" s="174" t="str">
        <f t="shared" si="53"/>
        <v>Leer</v>
      </c>
    </row>
    <row r="404" spans="1:40" s="174" customFormat="1" ht="15" customHeight="1">
      <c r="A404" s="63"/>
      <c r="B404" s="63"/>
      <c r="C404" s="84"/>
      <c r="D404" s="85"/>
      <c r="E404" s="62"/>
      <c r="F404" s="62"/>
      <c r="G404" s="62"/>
      <c r="H404" s="62"/>
      <c r="I404" s="62"/>
      <c r="J404" s="62"/>
      <c r="K404" s="62"/>
      <c r="L404" s="62"/>
      <c r="M404" s="62"/>
      <c r="N404" s="62"/>
      <c r="O404" s="62"/>
      <c r="P404" s="62"/>
      <c r="Q404" s="62"/>
      <c r="R404" s="62"/>
      <c r="S404" s="258"/>
      <c r="T404" s="248" t="str">
        <f t="shared" si="58"/>
        <v/>
      </c>
      <c r="U404" s="249" t="str">
        <f t="shared" si="59"/>
        <v/>
      </c>
      <c r="V404" s="294" t="str">
        <f t="shared" si="55"/>
        <v/>
      </c>
      <c r="W404" s="294" t="str">
        <f>IF(((E404="")+(F404="")),"",IF(VLOOKUP(F404,Mannschaften!$A$1:$B$54,2,FALSE)&lt;&gt;E404,"Reiter Mannschaften füllen",""))</f>
        <v/>
      </c>
      <c r="X404" s="248" t="str">
        <f>IF(ISBLANK(C404),"",IF((U404&gt;(LOOKUP(E404,WKNrListe,Übersicht!$O$7:$O$46)))+(U404&lt;(LOOKUP(E404,WKNrListe,Übersicht!$P$7:$P$46))),"JG falsch",""))</f>
        <v/>
      </c>
      <c r="Y404" s="255" t="str">
        <f>IF((A404="")*(B404=""),"",IF(ISERROR(MATCH(E404,WKNrListe,0)),"WK falsch",LOOKUP(E404,WKNrListe,Übersicht!$B$7:$B$46)))</f>
        <v/>
      </c>
      <c r="Z404" s="269" t="str">
        <f>IF(((AJ404=0)*(AH404&lt;&gt;"")*(AK404="-"))+((AJ404&lt;&gt;0)*(AH404&lt;&gt;"")*(AK404="-")),IF(AG404="X",Übersicht!$C$70,Übersicht!$C$69),"-")</f>
        <v>-</v>
      </c>
      <c r="AA404" s="252" t="str">
        <f>IF((($A404="")*($B404=""))+((MID($Y404,1,4)&lt;&gt;"Wahl")*(Deckblatt!$C$14='WK-Vorlagen'!$C$82))+(Deckblatt!$C$14&lt;&gt;'WK-Vorlagen'!$C$82),"",IF(ISERROR(MATCH(VALUE(MID(G404,1,2)),Schwierigkeitsstufen!$G$7:$G$19,0)),"Gerät falsch",LOOKUP(VALUE(MID(G404,1,2)),Schwierigkeitsstufen!$G$7:$G$19,Schwierigkeitsstufen!$H$7:$H$19)))</f>
        <v/>
      </c>
      <c r="AB404" s="250" t="str">
        <f>IF((($A404="")*($B404=""))+((MID($Y404,1,4)&lt;&gt;"Wahl")*(Deckblatt!$C$14='WK-Vorlagen'!$C$82))+(Deckblatt!$C$14&lt;&gt;'WK-Vorlagen'!$C$82),"",IF(ISERROR(MATCH(VALUE(MID(H404,1,2)),Schwierigkeitsstufen!$G$7:$G$19,0)),"Gerät falsch",LOOKUP(VALUE(MID(H404,1,2)),Schwierigkeitsstufen!$G$7:$G$19,Schwierigkeitsstufen!$H$7:$H$19)))</f>
        <v/>
      </c>
      <c r="AC404" s="250" t="str">
        <f>IF((($A404="")*($B404=""))+((MID($Y404,1,4)&lt;&gt;"Wahl")*(Deckblatt!$C$14='WK-Vorlagen'!$C$82))+(Deckblatt!$C$14&lt;&gt;'WK-Vorlagen'!$C$82),"",IF(ISERROR(MATCH(VALUE(MID(I404,1,2)),Schwierigkeitsstufen!$G$7:$G$19,0)),"Gerät falsch",LOOKUP(VALUE(MID(I404,1,2)),Schwierigkeitsstufen!$G$7:$G$19,Schwierigkeitsstufen!$H$7:$H$19)))</f>
        <v/>
      </c>
      <c r="AD404" s="251" t="str">
        <f>IF((($A404="")*($B404=""))+((MID($Y404,1,4)&lt;&gt;"Wahl")*(Deckblatt!$C$14='WK-Vorlagen'!$C$82))+(Deckblatt!$C$14&lt;&gt;'WK-Vorlagen'!$C$82),"",IF(ISERROR(MATCH(VALUE(MID(J404,1,2)),Schwierigkeitsstufen!$G$7:$G$19,0)),"Gerät falsch",LOOKUP(VALUE(MID(J404,1,2)),Schwierigkeitsstufen!$G$7:$G$19,Schwierigkeitsstufen!$H$7:$H$19)))</f>
        <v/>
      </c>
      <c r="AE404" s="211"/>
      <c r="AG404" s="221" t="str">
        <f t="shared" si="54"/>
        <v/>
      </c>
      <c r="AH404" s="222" t="str">
        <f t="shared" si="56"/>
        <v/>
      </c>
      <c r="AI404" s="220">
        <f t="shared" si="61"/>
        <v>4</v>
      </c>
      <c r="AJ404" s="222">
        <f t="shared" si="57"/>
        <v>0</v>
      </c>
      <c r="AK404" s="299" t="str">
        <f>IF(ISERROR(LOOKUP(E404,WKNrListe,Übersicht!$R$7:$R$46)),"-",LOOKUP(E404,WKNrListe,Übersicht!$R$7:$R$46))</f>
        <v>-</v>
      </c>
      <c r="AL404" s="299" t="str">
        <f t="shared" si="60"/>
        <v>-</v>
      </c>
      <c r="AM404" s="303"/>
      <c r="AN404" s="174" t="str">
        <f t="shared" si="53"/>
        <v>Leer</v>
      </c>
    </row>
    <row r="405" spans="1:40" s="174" customFormat="1" ht="15" customHeight="1">
      <c r="A405" s="63"/>
      <c r="B405" s="63"/>
      <c r="C405" s="84"/>
      <c r="D405" s="85"/>
      <c r="E405" s="62"/>
      <c r="F405" s="62"/>
      <c r="G405" s="62"/>
      <c r="H405" s="62"/>
      <c r="I405" s="62"/>
      <c r="J405" s="62"/>
      <c r="K405" s="62"/>
      <c r="L405" s="62"/>
      <c r="M405" s="62"/>
      <c r="N405" s="62"/>
      <c r="O405" s="62"/>
      <c r="P405" s="62"/>
      <c r="Q405" s="62"/>
      <c r="R405" s="62"/>
      <c r="S405" s="258"/>
      <c r="T405" s="248" t="str">
        <f t="shared" si="58"/>
        <v/>
      </c>
      <c r="U405" s="249" t="str">
        <f t="shared" si="59"/>
        <v/>
      </c>
      <c r="V405" s="294" t="str">
        <f t="shared" si="55"/>
        <v/>
      </c>
      <c r="W405" s="294" t="str">
        <f>IF(((E405="")+(F405="")),"",IF(VLOOKUP(F405,Mannschaften!$A$1:$B$54,2,FALSE)&lt;&gt;E405,"Reiter Mannschaften füllen",""))</f>
        <v/>
      </c>
      <c r="X405" s="248" t="str">
        <f>IF(ISBLANK(C405),"",IF((U405&gt;(LOOKUP(E405,WKNrListe,Übersicht!$O$7:$O$46)))+(U405&lt;(LOOKUP(E405,WKNrListe,Übersicht!$P$7:$P$46))),"JG falsch",""))</f>
        <v/>
      </c>
      <c r="Y405" s="255" t="str">
        <f>IF((A405="")*(B405=""),"",IF(ISERROR(MATCH(E405,WKNrListe,0)),"WK falsch",LOOKUP(E405,WKNrListe,Übersicht!$B$7:$B$46)))</f>
        <v/>
      </c>
      <c r="Z405" s="269" t="str">
        <f>IF(((AJ405=0)*(AH405&lt;&gt;"")*(AK405="-"))+((AJ405&lt;&gt;0)*(AH405&lt;&gt;"")*(AK405="-")),IF(AG405="X",Übersicht!$C$70,Übersicht!$C$69),"-")</f>
        <v>-</v>
      </c>
      <c r="AA405" s="252" t="str">
        <f>IF((($A405="")*($B405=""))+((MID($Y405,1,4)&lt;&gt;"Wahl")*(Deckblatt!$C$14='WK-Vorlagen'!$C$82))+(Deckblatt!$C$14&lt;&gt;'WK-Vorlagen'!$C$82),"",IF(ISERROR(MATCH(VALUE(MID(G405,1,2)),Schwierigkeitsstufen!$G$7:$G$19,0)),"Gerät falsch",LOOKUP(VALUE(MID(G405,1,2)),Schwierigkeitsstufen!$G$7:$G$19,Schwierigkeitsstufen!$H$7:$H$19)))</f>
        <v/>
      </c>
      <c r="AB405" s="250" t="str">
        <f>IF((($A405="")*($B405=""))+((MID($Y405,1,4)&lt;&gt;"Wahl")*(Deckblatt!$C$14='WK-Vorlagen'!$C$82))+(Deckblatt!$C$14&lt;&gt;'WK-Vorlagen'!$C$82),"",IF(ISERROR(MATCH(VALUE(MID(H405,1,2)),Schwierigkeitsstufen!$G$7:$G$19,0)),"Gerät falsch",LOOKUP(VALUE(MID(H405,1,2)),Schwierigkeitsstufen!$G$7:$G$19,Schwierigkeitsstufen!$H$7:$H$19)))</f>
        <v/>
      </c>
      <c r="AC405" s="250" t="str">
        <f>IF((($A405="")*($B405=""))+((MID($Y405,1,4)&lt;&gt;"Wahl")*(Deckblatt!$C$14='WK-Vorlagen'!$C$82))+(Deckblatt!$C$14&lt;&gt;'WK-Vorlagen'!$C$82),"",IF(ISERROR(MATCH(VALUE(MID(I405,1,2)),Schwierigkeitsstufen!$G$7:$G$19,0)),"Gerät falsch",LOOKUP(VALUE(MID(I405,1,2)),Schwierigkeitsstufen!$G$7:$G$19,Schwierigkeitsstufen!$H$7:$H$19)))</f>
        <v/>
      </c>
      <c r="AD405" s="251" t="str">
        <f>IF((($A405="")*($B405=""))+((MID($Y405,1,4)&lt;&gt;"Wahl")*(Deckblatt!$C$14='WK-Vorlagen'!$C$82))+(Deckblatt!$C$14&lt;&gt;'WK-Vorlagen'!$C$82),"",IF(ISERROR(MATCH(VALUE(MID(J405,1,2)),Schwierigkeitsstufen!$G$7:$G$19,0)),"Gerät falsch",LOOKUP(VALUE(MID(J405,1,2)),Schwierigkeitsstufen!$G$7:$G$19,Schwierigkeitsstufen!$H$7:$H$19)))</f>
        <v/>
      </c>
      <c r="AE405" s="211"/>
      <c r="AG405" s="221" t="str">
        <f t="shared" si="54"/>
        <v/>
      </c>
      <c r="AH405" s="222" t="str">
        <f t="shared" si="56"/>
        <v/>
      </c>
      <c r="AI405" s="220">
        <f t="shared" si="61"/>
        <v>4</v>
      </c>
      <c r="AJ405" s="222">
        <f t="shared" si="57"/>
        <v>0</v>
      </c>
      <c r="AK405" s="299" t="str">
        <f>IF(ISERROR(LOOKUP(E405,WKNrListe,Übersicht!$R$7:$R$46)),"-",LOOKUP(E405,WKNrListe,Übersicht!$R$7:$R$46))</f>
        <v>-</v>
      </c>
      <c r="AL405" s="299" t="str">
        <f t="shared" si="60"/>
        <v>-</v>
      </c>
      <c r="AM405" s="303"/>
      <c r="AN405" s="174" t="str">
        <f t="shared" si="53"/>
        <v>Leer</v>
      </c>
    </row>
    <row r="406" spans="1:40" s="174" customFormat="1" ht="15" customHeight="1">
      <c r="A406" s="63"/>
      <c r="B406" s="63"/>
      <c r="C406" s="84"/>
      <c r="D406" s="85"/>
      <c r="E406" s="62"/>
      <c r="F406" s="62"/>
      <c r="G406" s="62"/>
      <c r="H406" s="62"/>
      <c r="I406" s="62"/>
      <c r="J406" s="62"/>
      <c r="K406" s="62"/>
      <c r="L406" s="62"/>
      <c r="M406" s="62"/>
      <c r="N406" s="62"/>
      <c r="O406" s="62"/>
      <c r="P406" s="62"/>
      <c r="Q406" s="62"/>
      <c r="R406" s="62"/>
      <c r="S406" s="258"/>
      <c r="T406" s="248" t="str">
        <f t="shared" si="58"/>
        <v/>
      </c>
      <c r="U406" s="249" t="str">
        <f t="shared" si="59"/>
        <v/>
      </c>
      <c r="V406" s="294" t="str">
        <f t="shared" si="55"/>
        <v/>
      </c>
      <c r="W406" s="294" t="str">
        <f>IF(((E406="")+(F406="")),"",IF(VLOOKUP(F406,Mannschaften!$A$1:$B$54,2,FALSE)&lt;&gt;E406,"Reiter Mannschaften füllen",""))</f>
        <v/>
      </c>
      <c r="X406" s="248" t="str">
        <f>IF(ISBLANK(C406),"",IF((U406&gt;(LOOKUP(E406,WKNrListe,Übersicht!$O$7:$O$46)))+(U406&lt;(LOOKUP(E406,WKNrListe,Übersicht!$P$7:$P$46))),"JG falsch",""))</f>
        <v/>
      </c>
      <c r="Y406" s="255" t="str">
        <f>IF((A406="")*(B406=""),"",IF(ISERROR(MATCH(E406,WKNrListe,0)),"WK falsch",LOOKUP(E406,WKNrListe,Übersicht!$B$7:$B$46)))</f>
        <v/>
      </c>
      <c r="Z406" s="269" t="str">
        <f>IF(((AJ406=0)*(AH406&lt;&gt;"")*(AK406="-"))+((AJ406&lt;&gt;0)*(AH406&lt;&gt;"")*(AK406="-")),IF(AG406="X",Übersicht!$C$70,Übersicht!$C$69),"-")</f>
        <v>-</v>
      </c>
      <c r="AA406" s="252" t="str">
        <f>IF((($A406="")*($B406=""))+((MID($Y406,1,4)&lt;&gt;"Wahl")*(Deckblatt!$C$14='WK-Vorlagen'!$C$82))+(Deckblatt!$C$14&lt;&gt;'WK-Vorlagen'!$C$82),"",IF(ISERROR(MATCH(VALUE(MID(G406,1,2)),Schwierigkeitsstufen!$G$7:$G$19,0)),"Gerät falsch",LOOKUP(VALUE(MID(G406,1,2)),Schwierigkeitsstufen!$G$7:$G$19,Schwierigkeitsstufen!$H$7:$H$19)))</f>
        <v/>
      </c>
      <c r="AB406" s="250" t="str">
        <f>IF((($A406="")*($B406=""))+((MID($Y406,1,4)&lt;&gt;"Wahl")*(Deckblatt!$C$14='WK-Vorlagen'!$C$82))+(Deckblatt!$C$14&lt;&gt;'WK-Vorlagen'!$C$82),"",IF(ISERROR(MATCH(VALUE(MID(H406,1,2)),Schwierigkeitsstufen!$G$7:$G$19,0)),"Gerät falsch",LOOKUP(VALUE(MID(H406,1,2)),Schwierigkeitsstufen!$G$7:$G$19,Schwierigkeitsstufen!$H$7:$H$19)))</f>
        <v/>
      </c>
      <c r="AC406" s="250" t="str">
        <f>IF((($A406="")*($B406=""))+((MID($Y406,1,4)&lt;&gt;"Wahl")*(Deckblatt!$C$14='WK-Vorlagen'!$C$82))+(Deckblatt!$C$14&lt;&gt;'WK-Vorlagen'!$C$82),"",IF(ISERROR(MATCH(VALUE(MID(I406,1,2)),Schwierigkeitsstufen!$G$7:$G$19,0)),"Gerät falsch",LOOKUP(VALUE(MID(I406,1,2)),Schwierigkeitsstufen!$G$7:$G$19,Schwierigkeitsstufen!$H$7:$H$19)))</f>
        <v/>
      </c>
      <c r="AD406" s="251" t="str">
        <f>IF((($A406="")*($B406=""))+((MID($Y406,1,4)&lt;&gt;"Wahl")*(Deckblatt!$C$14='WK-Vorlagen'!$C$82))+(Deckblatt!$C$14&lt;&gt;'WK-Vorlagen'!$C$82),"",IF(ISERROR(MATCH(VALUE(MID(J406,1,2)),Schwierigkeitsstufen!$G$7:$G$19,0)),"Gerät falsch",LOOKUP(VALUE(MID(J406,1,2)),Schwierigkeitsstufen!$G$7:$G$19,Schwierigkeitsstufen!$H$7:$H$19)))</f>
        <v/>
      </c>
      <c r="AE406" s="211"/>
      <c r="AG406" s="221" t="str">
        <f t="shared" si="54"/>
        <v/>
      </c>
      <c r="AH406" s="222" t="str">
        <f t="shared" si="56"/>
        <v/>
      </c>
      <c r="AI406" s="220">
        <f t="shared" si="61"/>
        <v>4</v>
      </c>
      <c r="AJ406" s="222">
        <f t="shared" si="57"/>
        <v>0</v>
      </c>
      <c r="AK406" s="299" t="str">
        <f>IF(ISERROR(LOOKUP(E406,WKNrListe,Übersicht!$R$7:$R$46)),"-",LOOKUP(E406,WKNrListe,Übersicht!$R$7:$R$46))</f>
        <v>-</v>
      </c>
      <c r="AL406" s="299" t="str">
        <f t="shared" si="60"/>
        <v>-</v>
      </c>
      <c r="AM406" s="303"/>
      <c r="AN406" s="174" t="str">
        <f t="shared" si="53"/>
        <v>Leer</v>
      </c>
    </row>
    <row r="407" spans="1:40" s="174" customFormat="1" ht="15" customHeight="1">
      <c r="A407" s="63"/>
      <c r="B407" s="63"/>
      <c r="C407" s="84"/>
      <c r="D407" s="85"/>
      <c r="E407" s="62"/>
      <c r="F407" s="62"/>
      <c r="G407" s="62"/>
      <c r="H407" s="62"/>
      <c r="I407" s="62"/>
      <c r="J407" s="62"/>
      <c r="K407" s="62"/>
      <c r="L407" s="62"/>
      <c r="M407" s="62"/>
      <c r="N407" s="62"/>
      <c r="O407" s="62"/>
      <c r="P407" s="62"/>
      <c r="Q407" s="62"/>
      <c r="R407" s="62"/>
      <c r="S407" s="258"/>
      <c r="T407" s="248" t="str">
        <f t="shared" si="58"/>
        <v/>
      </c>
      <c r="U407" s="249" t="str">
        <f t="shared" si="59"/>
        <v/>
      </c>
      <c r="V407" s="294" t="str">
        <f t="shared" si="55"/>
        <v/>
      </c>
      <c r="W407" s="294" t="str">
        <f>IF(((E407="")+(F407="")),"",IF(VLOOKUP(F407,Mannschaften!$A$1:$B$54,2,FALSE)&lt;&gt;E407,"Reiter Mannschaften füllen",""))</f>
        <v/>
      </c>
      <c r="X407" s="248" t="str">
        <f>IF(ISBLANK(C407),"",IF((U407&gt;(LOOKUP(E407,WKNrListe,Übersicht!$O$7:$O$46)))+(U407&lt;(LOOKUP(E407,WKNrListe,Übersicht!$P$7:$P$46))),"JG falsch",""))</f>
        <v/>
      </c>
      <c r="Y407" s="255" t="str">
        <f>IF((A407="")*(B407=""),"",IF(ISERROR(MATCH(E407,WKNrListe,0)),"WK falsch",LOOKUP(E407,WKNrListe,Übersicht!$B$7:$B$46)))</f>
        <v/>
      </c>
      <c r="Z407" s="269" t="str">
        <f>IF(((AJ407=0)*(AH407&lt;&gt;"")*(AK407="-"))+((AJ407&lt;&gt;0)*(AH407&lt;&gt;"")*(AK407="-")),IF(AG407="X",Übersicht!$C$70,Übersicht!$C$69),"-")</f>
        <v>-</v>
      </c>
      <c r="AA407" s="252" t="str">
        <f>IF((($A407="")*($B407=""))+((MID($Y407,1,4)&lt;&gt;"Wahl")*(Deckblatt!$C$14='WK-Vorlagen'!$C$82))+(Deckblatt!$C$14&lt;&gt;'WK-Vorlagen'!$C$82),"",IF(ISERROR(MATCH(VALUE(MID(G407,1,2)),Schwierigkeitsstufen!$G$7:$G$19,0)),"Gerät falsch",LOOKUP(VALUE(MID(G407,1,2)),Schwierigkeitsstufen!$G$7:$G$19,Schwierigkeitsstufen!$H$7:$H$19)))</f>
        <v/>
      </c>
      <c r="AB407" s="250" t="str">
        <f>IF((($A407="")*($B407=""))+((MID($Y407,1,4)&lt;&gt;"Wahl")*(Deckblatt!$C$14='WK-Vorlagen'!$C$82))+(Deckblatt!$C$14&lt;&gt;'WK-Vorlagen'!$C$82),"",IF(ISERROR(MATCH(VALUE(MID(H407,1,2)),Schwierigkeitsstufen!$G$7:$G$19,0)),"Gerät falsch",LOOKUP(VALUE(MID(H407,1,2)),Schwierigkeitsstufen!$G$7:$G$19,Schwierigkeitsstufen!$H$7:$H$19)))</f>
        <v/>
      </c>
      <c r="AC407" s="250" t="str">
        <f>IF((($A407="")*($B407=""))+((MID($Y407,1,4)&lt;&gt;"Wahl")*(Deckblatt!$C$14='WK-Vorlagen'!$C$82))+(Deckblatt!$C$14&lt;&gt;'WK-Vorlagen'!$C$82),"",IF(ISERROR(MATCH(VALUE(MID(I407,1,2)),Schwierigkeitsstufen!$G$7:$G$19,0)),"Gerät falsch",LOOKUP(VALUE(MID(I407,1,2)),Schwierigkeitsstufen!$G$7:$G$19,Schwierigkeitsstufen!$H$7:$H$19)))</f>
        <v/>
      </c>
      <c r="AD407" s="251" t="str">
        <f>IF((($A407="")*($B407=""))+((MID($Y407,1,4)&lt;&gt;"Wahl")*(Deckblatt!$C$14='WK-Vorlagen'!$C$82))+(Deckblatt!$C$14&lt;&gt;'WK-Vorlagen'!$C$82),"",IF(ISERROR(MATCH(VALUE(MID(J407,1,2)),Schwierigkeitsstufen!$G$7:$G$19,0)),"Gerät falsch",LOOKUP(VALUE(MID(J407,1,2)),Schwierigkeitsstufen!$G$7:$G$19,Schwierigkeitsstufen!$H$7:$H$19)))</f>
        <v/>
      </c>
      <c r="AE407" s="211"/>
      <c r="AG407" s="221" t="str">
        <f t="shared" si="54"/>
        <v/>
      </c>
      <c r="AH407" s="222" t="str">
        <f t="shared" si="56"/>
        <v/>
      </c>
      <c r="AI407" s="220">
        <f t="shared" si="61"/>
        <v>4</v>
      </c>
      <c r="AJ407" s="222">
        <f t="shared" si="57"/>
        <v>0</v>
      </c>
      <c r="AK407" s="299" t="str">
        <f>IF(ISERROR(LOOKUP(E407,WKNrListe,Übersicht!$R$7:$R$46)),"-",LOOKUP(E407,WKNrListe,Übersicht!$R$7:$R$46))</f>
        <v>-</v>
      </c>
      <c r="AL407" s="299" t="str">
        <f t="shared" si="60"/>
        <v>-</v>
      </c>
      <c r="AM407" s="303"/>
      <c r="AN407" s="174" t="str">
        <f t="shared" si="53"/>
        <v>Leer</v>
      </c>
    </row>
    <row r="408" spans="1:40" s="174" customFormat="1" ht="15" customHeight="1">
      <c r="A408" s="63"/>
      <c r="B408" s="63"/>
      <c r="C408" s="84"/>
      <c r="D408" s="85"/>
      <c r="E408" s="62"/>
      <c r="F408" s="62"/>
      <c r="G408" s="62"/>
      <c r="H408" s="62"/>
      <c r="I408" s="62"/>
      <c r="J408" s="62"/>
      <c r="K408" s="62"/>
      <c r="L408" s="62"/>
      <c r="M408" s="62"/>
      <c r="N408" s="62"/>
      <c r="O408" s="62"/>
      <c r="P408" s="62"/>
      <c r="Q408" s="62"/>
      <c r="R408" s="62"/>
      <c r="S408" s="258"/>
      <c r="T408" s="248" t="str">
        <f t="shared" si="58"/>
        <v/>
      </c>
      <c r="U408" s="249" t="str">
        <f t="shared" si="59"/>
        <v/>
      </c>
      <c r="V408" s="294" t="str">
        <f t="shared" si="55"/>
        <v/>
      </c>
      <c r="W408" s="294" t="str">
        <f>IF(((E408="")+(F408="")),"",IF(VLOOKUP(F408,Mannschaften!$A$1:$B$54,2,FALSE)&lt;&gt;E408,"Reiter Mannschaften füllen",""))</f>
        <v/>
      </c>
      <c r="X408" s="248" t="str">
        <f>IF(ISBLANK(C408),"",IF((U408&gt;(LOOKUP(E408,WKNrListe,Übersicht!$O$7:$O$46)))+(U408&lt;(LOOKUP(E408,WKNrListe,Übersicht!$P$7:$P$46))),"JG falsch",""))</f>
        <v/>
      </c>
      <c r="Y408" s="255" t="str">
        <f>IF((A408="")*(B408=""),"",IF(ISERROR(MATCH(E408,WKNrListe,0)),"WK falsch",LOOKUP(E408,WKNrListe,Übersicht!$B$7:$B$46)))</f>
        <v/>
      </c>
      <c r="Z408" s="269" t="str">
        <f>IF(((AJ408=0)*(AH408&lt;&gt;"")*(AK408="-"))+((AJ408&lt;&gt;0)*(AH408&lt;&gt;"")*(AK408="-")),IF(AG408="X",Übersicht!$C$70,Übersicht!$C$69),"-")</f>
        <v>-</v>
      </c>
      <c r="AA408" s="252" t="str">
        <f>IF((($A408="")*($B408=""))+((MID($Y408,1,4)&lt;&gt;"Wahl")*(Deckblatt!$C$14='WK-Vorlagen'!$C$82))+(Deckblatt!$C$14&lt;&gt;'WK-Vorlagen'!$C$82),"",IF(ISERROR(MATCH(VALUE(MID(G408,1,2)),Schwierigkeitsstufen!$G$7:$G$19,0)),"Gerät falsch",LOOKUP(VALUE(MID(G408,1,2)),Schwierigkeitsstufen!$G$7:$G$19,Schwierigkeitsstufen!$H$7:$H$19)))</f>
        <v/>
      </c>
      <c r="AB408" s="250" t="str">
        <f>IF((($A408="")*($B408=""))+((MID($Y408,1,4)&lt;&gt;"Wahl")*(Deckblatt!$C$14='WK-Vorlagen'!$C$82))+(Deckblatt!$C$14&lt;&gt;'WK-Vorlagen'!$C$82),"",IF(ISERROR(MATCH(VALUE(MID(H408,1,2)),Schwierigkeitsstufen!$G$7:$G$19,0)),"Gerät falsch",LOOKUP(VALUE(MID(H408,1,2)),Schwierigkeitsstufen!$G$7:$G$19,Schwierigkeitsstufen!$H$7:$H$19)))</f>
        <v/>
      </c>
      <c r="AC408" s="250" t="str">
        <f>IF((($A408="")*($B408=""))+((MID($Y408,1,4)&lt;&gt;"Wahl")*(Deckblatt!$C$14='WK-Vorlagen'!$C$82))+(Deckblatt!$C$14&lt;&gt;'WK-Vorlagen'!$C$82),"",IF(ISERROR(MATCH(VALUE(MID(I408,1,2)),Schwierigkeitsstufen!$G$7:$G$19,0)),"Gerät falsch",LOOKUP(VALUE(MID(I408,1,2)),Schwierigkeitsstufen!$G$7:$G$19,Schwierigkeitsstufen!$H$7:$H$19)))</f>
        <v/>
      </c>
      <c r="AD408" s="251" t="str">
        <f>IF((($A408="")*($B408=""))+((MID($Y408,1,4)&lt;&gt;"Wahl")*(Deckblatt!$C$14='WK-Vorlagen'!$C$82))+(Deckblatt!$C$14&lt;&gt;'WK-Vorlagen'!$C$82),"",IF(ISERROR(MATCH(VALUE(MID(J408,1,2)),Schwierigkeitsstufen!$G$7:$G$19,0)),"Gerät falsch",LOOKUP(VALUE(MID(J408,1,2)),Schwierigkeitsstufen!$G$7:$G$19,Schwierigkeitsstufen!$H$7:$H$19)))</f>
        <v/>
      </c>
      <c r="AE408" s="211"/>
      <c r="AG408" s="221" t="str">
        <f t="shared" si="54"/>
        <v/>
      </c>
      <c r="AH408" s="222" t="str">
        <f t="shared" si="56"/>
        <v/>
      </c>
      <c r="AI408" s="220">
        <f t="shared" si="61"/>
        <v>4</v>
      </c>
      <c r="AJ408" s="222">
        <f t="shared" si="57"/>
        <v>0</v>
      </c>
      <c r="AK408" s="299" t="str">
        <f>IF(ISERROR(LOOKUP(E408,WKNrListe,Übersicht!$R$7:$R$46)),"-",LOOKUP(E408,WKNrListe,Übersicht!$R$7:$R$46))</f>
        <v>-</v>
      </c>
      <c r="AL408" s="299" t="str">
        <f t="shared" si="60"/>
        <v>-</v>
      </c>
      <c r="AM408" s="303"/>
      <c r="AN408" s="174" t="str">
        <f t="shared" si="53"/>
        <v>Leer</v>
      </c>
    </row>
    <row r="409" spans="1:40" s="174" customFormat="1" ht="15" customHeight="1">
      <c r="A409" s="63"/>
      <c r="B409" s="63"/>
      <c r="C409" s="84"/>
      <c r="D409" s="85"/>
      <c r="E409" s="62"/>
      <c r="F409" s="62"/>
      <c r="G409" s="62"/>
      <c r="H409" s="62"/>
      <c r="I409" s="62"/>
      <c r="J409" s="62"/>
      <c r="K409" s="62"/>
      <c r="L409" s="62"/>
      <c r="M409" s="62"/>
      <c r="N409" s="62"/>
      <c r="O409" s="62"/>
      <c r="P409" s="62"/>
      <c r="Q409" s="62"/>
      <c r="R409" s="62"/>
      <c r="S409" s="258"/>
      <c r="T409" s="248" t="str">
        <f t="shared" si="58"/>
        <v/>
      </c>
      <c r="U409" s="249" t="str">
        <f t="shared" si="59"/>
        <v/>
      </c>
      <c r="V409" s="294" t="str">
        <f t="shared" si="55"/>
        <v/>
      </c>
      <c r="W409" s="294" t="str">
        <f>IF(((E409="")+(F409="")),"",IF(VLOOKUP(F409,Mannschaften!$A$1:$B$54,2,FALSE)&lt;&gt;E409,"Reiter Mannschaften füllen",""))</f>
        <v/>
      </c>
      <c r="X409" s="248" t="str">
        <f>IF(ISBLANK(C409),"",IF((U409&gt;(LOOKUP(E409,WKNrListe,Übersicht!$O$7:$O$46)))+(U409&lt;(LOOKUP(E409,WKNrListe,Übersicht!$P$7:$P$46))),"JG falsch",""))</f>
        <v/>
      </c>
      <c r="Y409" s="255" t="str">
        <f>IF((A409="")*(B409=""),"",IF(ISERROR(MATCH(E409,WKNrListe,0)),"WK falsch",LOOKUP(E409,WKNrListe,Übersicht!$B$7:$B$46)))</f>
        <v/>
      </c>
      <c r="Z409" s="269" t="str">
        <f>IF(((AJ409=0)*(AH409&lt;&gt;"")*(AK409="-"))+((AJ409&lt;&gt;0)*(AH409&lt;&gt;"")*(AK409="-")),IF(AG409="X",Übersicht!$C$70,Übersicht!$C$69),"-")</f>
        <v>-</v>
      </c>
      <c r="AA409" s="252" t="str">
        <f>IF((($A409="")*($B409=""))+((MID($Y409,1,4)&lt;&gt;"Wahl")*(Deckblatt!$C$14='WK-Vorlagen'!$C$82))+(Deckblatt!$C$14&lt;&gt;'WK-Vorlagen'!$C$82),"",IF(ISERROR(MATCH(VALUE(MID(G409,1,2)),Schwierigkeitsstufen!$G$7:$G$19,0)),"Gerät falsch",LOOKUP(VALUE(MID(G409,1,2)),Schwierigkeitsstufen!$G$7:$G$19,Schwierigkeitsstufen!$H$7:$H$19)))</f>
        <v/>
      </c>
      <c r="AB409" s="250" t="str">
        <f>IF((($A409="")*($B409=""))+((MID($Y409,1,4)&lt;&gt;"Wahl")*(Deckblatt!$C$14='WK-Vorlagen'!$C$82))+(Deckblatt!$C$14&lt;&gt;'WK-Vorlagen'!$C$82),"",IF(ISERROR(MATCH(VALUE(MID(H409,1,2)),Schwierigkeitsstufen!$G$7:$G$19,0)),"Gerät falsch",LOOKUP(VALUE(MID(H409,1,2)),Schwierigkeitsstufen!$G$7:$G$19,Schwierigkeitsstufen!$H$7:$H$19)))</f>
        <v/>
      </c>
      <c r="AC409" s="250" t="str">
        <f>IF((($A409="")*($B409=""))+((MID($Y409,1,4)&lt;&gt;"Wahl")*(Deckblatt!$C$14='WK-Vorlagen'!$C$82))+(Deckblatt!$C$14&lt;&gt;'WK-Vorlagen'!$C$82),"",IF(ISERROR(MATCH(VALUE(MID(I409,1,2)),Schwierigkeitsstufen!$G$7:$G$19,0)),"Gerät falsch",LOOKUP(VALUE(MID(I409,1,2)),Schwierigkeitsstufen!$G$7:$G$19,Schwierigkeitsstufen!$H$7:$H$19)))</f>
        <v/>
      </c>
      <c r="AD409" s="251" t="str">
        <f>IF((($A409="")*($B409=""))+((MID($Y409,1,4)&lt;&gt;"Wahl")*(Deckblatt!$C$14='WK-Vorlagen'!$C$82))+(Deckblatt!$C$14&lt;&gt;'WK-Vorlagen'!$C$82),"",IF(ISERROR(MATCH(VALUE(MID(J409,1,2)),Schwierigkeitsstufen!$G$7:$G$19,0)),"Gerät falsch",LOOKUP(VALUE(MID(J409,1,2)),Schwierigkeitsstufen!$G$7:$G$19,Schwierigkeitsstufen!$H$7:$H$19)))</f>
        <v/>
      </c>
      <c r="AE409" s="211"/>
      <c r="AG409" s="221" t="str">
        <f t="shared" si="54"/>
        <v/>
      </c>
      <c r="AH409" s="222" t="str">
        <f t="shared" si="56"/>
        <v/>
      </c>
      <c r="AI409" s="220">
        <f t="shared" si="61"/>
        <v>4</v>
      </c>
      <c r="AJ409" s="222">
        <f t="shared" si="57"/>
        <v>0</v>
      </c>
      <c r="AK409" s="299" t="str">
        <f>IF(ISERROR(LOOKUP(E409,WKNrListe,Übersicht!$R$7:$R$46)),"-",LOOKUP(E409,WKNrListe,Übersicht!$R$7:$R$46))</f>
        <v>-</v>
      </c>
      <c r="AL409" s="299" t="str">
        <f t="shared" si="60"/>
        <v>-</v>
      </c>
      <c r="AM409" s="303"/>
      <c r="AN409" s="174" t="str">
        <f t="shared" si="53"/>
        <v>Leer</v>
      </c>
    </row>
    <row r="410" spans="1:40" s="174" customFormat="1" ht="15" customHeight="1">
      <c r="A410" s="63"/>
      <c r="B410" s="63"/>
      <c r="C410" s="84"/>
      <c r="D410" s="85"/>
      <c r="E410" s="62"/>
      <c r="F410" s="62"/>
      <c r="G410" s="62"/>
      <c r="H410" s="62"/>
      <c r="I410" s="62"/>
      <c r="J410" s="62"/>
      <c r="K410" s="62"/>
      <c r="L410" s="62"/>
      <c r="M410" s="62"/>
      <c r="N410" s="62"/>
      <c r="O410" s="62"/>
      <c r="P410" s="62"/>
      <c r="Q410" s="62"/>
      <c r="R410" s="62"/>
      <c r="S410" s="258"/>
      <c r="T410" s="248" t="str">
        <f t="shared" si="58"/>
        <v/>
      </c>
      <c r="U410" s="249" t="str">
        <f t="shared" si="59"/>
        <v/>
      </c>
      <c r="V410" s="294" t="str">
        <f t="shared" si="55"/>
        <v/>
      </c>
      <c r="W410" s="294" t="str">
        <f>IF(((E410="")+(F410="")),"",IF(VLOOKUP(F410,Mannschaften!$A$1:$B$54,2,FALSE)&lt;&gt;E410,"Reiter Mannschaften füllen",""))</f>
        <v/>
      </c>
      <c r="X410" s="248" t="str">
        <f>IF(ISBLANK(C410),"",IF((U410&gt;(LOOKUP(E410,WKNrListe,Übersicht!$O$7:$O$46)))+(U410&lt;(LOOKUP(E410,WKNrListe,Übersicht!$P$7:$P$46))),"JG falsch",""))</f>
        <v/>
      </c>
      <c r="Y410" s="255" t="str">
        <f>IF((A410="")*(B410=""),"",IF(ISERROR(MATCH(E410,WKNrListe,0)),"WK falsch",LOOKUP(E410,WKNrListe,Übersicht!$B$7:$B$46)))</f>
        <v/>
      </c>
      <c r="Z410" s="269" t="str">
        <f>IF(((AJ410=0)*(AH410&lt;&gt;"")*(AK410="-"))+((AJ410&lt;&gt;0)*(AH410&lt;&gt;"")*(AK410="-")),IF(AG410="X",Übersicht!$C$70,Übersicht!$C$69),"-")</f>
        <v>-</v>
      </c>
      <c r="AA410" s="252" t="str">
        <f>IF((($A410="")*($B410=""))+((MID($Y410,1,4)&lt;&gt;"Wahl")*(Deckblatt!$C$14='WK-Vorlagen'!$C$82))+(Deckblatt!$C$14&lt;&gt;'WK-Vorlagen'!$C$82),"",IF(ISERROR(MATCH(VALUE(MID(G410,1,2)),Schwierigkeitsstufen!$G$7:$G$19,0)),"Gerät falsch",LOOKUP(VALUE(MID(G410,1,2)),Schwierigkeitsstufen!$G$7:$G$19,Schwierigkeitsstufen!$H$7:$H$19)))</f>
        <v/>
      </c>
      <c r="AB410" s="250" t="str">
        <f>IF((($A410="")*($B410=""))+((MID($Y410,1,4)&lt;&gt;"Wahl")*(Deckblatt!$C$14='WK-Vorlagen'!$C$82))+(Deckblatt!$C$14&lt;&gt;'WK-Vorlagen'!$C$82),"",IF(ISERROR(MATCH(VALUE(MID(H410,1,2)),Schwierigkeitsstufen!$G$7:$G$19,0)),"Gerät falsch",LOOKUP(VALUE(MID(H410,1,2)),Schwierigkeitsstufen!$G$7:$G$19,Schwierigkeitsstufen!$H$7:$H$19)))</f>
        <v/>
      </c>
      <c r="AC410" s="250" t="str">
        <f>IF((($A410="")*($B410=""))+((MID($Y410,1,4)&lt;&gt;"Wahl")*(Deckblatt!$C$14='WK-Vorlagen'!$C$82))+(Deckblatt!$C$14&lt;&gt;'WK-Vorlagen'!$C$82),"",IF(ISERROR(MATCH(VALUE(MID(I410,1,2)),Schwierigkeitsstufen!$G$7:$G$19,0)),"Gerät falsch",LOOKUP(VALUE(MID(I410,1,2)),Schwierigkeitsstufen!$G$7:$G$19,Schwierigkeitsstufen!$H$7:$H$19)))</f>
        <v/>
      </c>
      <c r="AD410" s="251" t="str">
        <f>IF((($A410="")*($B410=""))+((MID($Y410,1,4)&lt;&gt;"Wahl")*(Deckblatt!$C$14='WK-Vorlagen'!$C$82))+(Deckblatt!$C$14&lt;&gt;'WK-Vorlagen'!$C$82),"",IF(ISERROR(MATCH(VALUE(MID(J410,1,2)),Schwierigkeitsstufen!$G$7:$G$19,0)),"Gerät falsch",LOOKUP(VALUE(MID(J410,1,2)),Schwierigkeitsstufen!$G$7:$G$19,Schwierigkeitsstufen!$H$7:$H$19)))</f>
        <v/>
      </c>
      <c r="AE410" s="211"/>
      <c r="AG410" s="221" t="str">
        <f t="shared" si="54"/>
        <v/>
      </c>
      <c r="AH410" s="222" t="str">
        <f t="shared" si="56"/>
        <v/>
      </c>
      <c r="AI410" s="220">
        <f t="shared" si="61"/>
        <v>4</v>
      </c>
      <c r="AJ410" s="222">
        <f t="shared" si="57"/>
        <v>0</v>
      </c>
      <c r="AK410" s="299" t="str">
        <f>IF(ISERROR(LOOKUP(E410,WKNrListe,Übersicht!$R$7:$R$46)),"-",LOOKUP(E410,WKNrListe,Übersicht!$R$7:$R$46))</f>
        <v>-</v>
      </c>
      <c r="AL410" s="299" t="str">
        <f t="shared" si="60"/>
        <v>-</v>
      </c>
      <c r="AM410" s="303"/>
      <c r="AN410" s="174" t="str">
        <f t="shared" si="53"/>
        <v>Leer</v>
      </c>
    </row>
    <row r="411" spans="1:40" s="174" customFormat="1" ht="15" customHeight="1">
      <c r="A411" s="63"/>
      <c r="B411" s="63"/>
      <c r="C411" s="84"/>
      <c r="D411" s="85"/>
      <c r="E411" s="62"/>
      <c r="F411" s="62"/>
      <c r="G411" s="62"/>
      <c r="H411" s="62"/>
      <c r="I411" s="62"/>
      <c r="J411" s="62"/>
      <c r="K411" s="62"/>
      <c r="L411" s="62"/>
      <c r="M411" s="62"/>
      <c r="N411" s="62"/>
      <c r="O411" s="62"/>
      <c r="P411" s="62"/>
      <c r="Q411" s="62"/>
      <c r="R411" s="62"/>
      <c r="S411" s="258"/>
      <c r="T411" s="248" t="str">
        <f t="shared" si="58"/>
        <v/>
      </c>
      <c r="U411" s="249" t="str">
        <f t="shared" si="59"/>
        <v/>
      </c>
      <c r="V411" s="294" t="str">
        <f t="shared" si="55"/>
        <v/>
      </c>
      <c r="W411" s="294" t="str">
        <f>IF(((E411="")+(F411="")),"",IF(VLOOKUP(F411,Mannschaften!$A$1:$B$54,2,FALSE)&lt;&gt;E411,"Reiter Mannschaften füllen",""))</f>
        <v/>
      </c>
      <c r="X411" s="248" t="str">
        <f>IF(ISBLANK(C411),"",IF((U411&gt;(LOOKUP(E411,WKNrListe,Übersicht!$O$7:$O$46)))+(U411&lt;(LOOKUP(E411,WKNrListe,Übersicht!$P$7:$P$46))),"JG falsch",""))</f>
        <v/>
      </c>
      <c r="Y411" s="255" t="str">
        <f>IF((A411="")*(B411=""),"",IF(ISERROR(MATCH(E411,WKNrListe,0)),"WK falsch",LOOKUP(E411,WKNrListe,Übersicht!$B$7:$B$46)))</f>
        <v/>
      </c>
      <c r="Z411" s="269" t="str">
        <f>IF(((AJ411=0)*(AH411&lt;&gt;"")*(AK411="-"))+((AJ411&lt;&gt;0)*(AH411&lt;&gt;"")*(AK411="-")),IF(AG411="X",Übersicht!$C$70,Übersicht!$C$69),"-")</f>
        <v>-</v>
      </c>
      <c r="AA411" s="252" t="str">
        <f>IF((($A411="")*($B411=""))+((MID($Y411,1,4)&lt;&gt;"Wahl")*(Deckblatt!$C$14='WK-Vorlagen'!$C$82))+(Deckblatt!$C$14&lt;&gt;'WK-Vorlagen'!$C$82),"",IF(ISERROR(MATCH(VALUE(MID(G411,1,2)),Schwierigkeitsstufen!$G$7:$G$19,0)),"Gerät falsch",LOOKUP(VALUE(MID(G411,1,2)),Schwierigkeitsstufen!$G$7:$G$19,Schwierigkeitsstufen!$H$7:$H$19)))</f>
        <v/>
      </c>
      <c r="AB411" s="250" t="str">
        <f>IF((($A411="")*($B411=""))+((MID($Y411,1,4)&lt;&gt;"Wahl")*(Deckblatt!$C$14='WK-Vorlagen'!$C$82))+(Deckblatt!$C$14&lt;&gt;'WK-Vorlagen'!$C$82),"",IF(ISERROR(MATCH(VALUE(MID(H411,1,2)),Schwierigkeitsstufen!$G$7:$G$19,0)),"Gerät falsch",LOOKUP(VALUE(MID(H411,1,2)),Schwierigkeitsstufen!$G$7:$G$19,Schwierigkeitsstufen!$H$7:$H$19)))</f>
        <v/>
      </c>
      <c r="AC411" s="250" t="str">
        <f>IF((($A411="")*($B411=""))+((MID($Y411,1,4)&lt;&gt;"Wahl")*(Deckblatt!$C$14='WK-Vorlagen'!$C$82))+(Deckblatt!$C$14&lt;&gt;'WK-Vorlagen'!$C$82),"",IF(ISERROR(MATCH(VALUE(MID(I411,1,2)),Schwierigkeitsstufen!$G$7:$G$19,0)),"Gerät falsch",LOOKUP(VALUE(MID(I411,1,2)),Schwierigkeitsstufen!$G$7:$G$19,Schwierigkeitsstufen!$H$7:$H$19)))</f>
        <v/>
      </c>
      <c r="AD411" s="251" t="str">
        <f>IF((($A411="")*($B411=""))+((MID($Y411,1,4)&lt;&gt;"Wahl")*(Deckblatt!$C$14='WK-Vorlagen'!$C$82))+(Deckblatt!$C$14&lt;&gt;'WK-Vorlagen'!$C$82),"",IF(ISERROR(MATCH(VALUE(MID(J411,1,2)),Schwierigkeitsstufen!$G$7:$G$19,0)),"Gerät falsch",LOOKUP(VALUE(MID(J411,1,2)),Schwierigkeitsstufen!$G$7:$G$19,Schwierigkeitsstufen!$H$7:$H$19)))</f>
        <v/>
      </c>
      <c r="AE411" s="211"/>
      <c r="AG411" s="221" t="str">
        <f t="shared" si="54"/>
        <v/>
      </c>
      <c r="AH411" s="222" t="str">
        <f t="shared" si="56"/>
        <v/>
      </c>
      <c r="AI411" s="220">
        <f t="shared" si="61"/>
        <v>4</v>
      </c>
      <c r="AJ411" s="222">
        <f t="shared" si="57"/>
        <v>0</v>
      </c>
      <c r="AK411" s="299" t="str">
        <f>IF(ISERROR(LOOKUP(E411,WKNrListe,Übersicht!$R$7:$R$46)),"-",LOOKUP(E411,WKNrListe,Übersicht!$R$7:$R$46))</f>
        <v>-</v>
      </c>
      <c r="AL411" s="299" t="str">
        <f t="shared" si="60"/>
        <v>-</v>
      </c>
      <c r="AM411" s="303"/>
      <c r="AN411" s="174" t="str">
        <f t="shared" si="53"/>
        <v>Leer</v>
      </c>
    </row>
    <row r="412" spans="1:40" s="174" customFormat="1" ht="15" customHeight="1">
      <c r="A412" s="63"/>
      <c r="B412" s="63"/>
      <c r="C412" s="84"/>
      <c r="D412" s="85"/>
      <c r="E412" s="62"/>
      <c r="F412" s="62"/>
      <c r="G412" s="62"/>
      <c r="H412" s="62"/>
      <c r="I412" s="62"/>
      <c r="J412" s="62"/>
      <c r="K412" s="62"/>
      <c r="L412" s="62"/>
      <c r="M412" s="62"/>
      <c r="N412" s="62"/>
      <c r="O412" s="62"/>
      <c r="P412" s="62"/>
      <c r="Q412" s="62"/>
      <c r="R412" s="62"/>
      <c r="S412" s="258"/>
      <c r="T412" s="248" t="str">
        <f t="shared" si="58"/>
        <v/>
      </c>
      <c r="U412" s="249" t="str">
        <f t="shared" si="59"/>
        <v/>
      </c>
      <c r="V412" s="294" t="str">
        <f t="shared" si="55"/>
        <v/>
      </c>
      <c r="W412" s="294" t="str">
        <f>IF(((E412="")+(F412="")),"",IF(VLOOKUP(F412,Mannschaften!$A$1:$B$54,2,FALSE)&lt;&gt;E412,"Reiter Mannschaften füllen",""))</f>
        <v/>
      </c>
      <c r="X412" s="248" t="str">
        <f>IF(ISBLANK(C412),"",IF((U412&gt;(LOOKUP(E412,WKNrListe,Übersicht!$O$7:$O$46)))+(U412&lt;(LOOKUP(E412,WKNrListe,Übersicht!$P$7:$P$46))),"JG falsch",""))</f>
        <v/>
      </c>
      <c r="Y412" s="255" t="str">
        <f>IF((A412="")*(B412=""),"",IF(ISERROR(MATCH(E412,WKNrListe,0)),"WK falsch",LOOKUP(E412,WKNrListe,Übersicht!$B$7:$B$46)))</f>
        <v/>
      </c>
      <c r="Z412" s="269" t="str">
        <f>IF(((AJ412=0)*(AH412&lt;&gt;"")*(AK412="-"))+((AJ412&lt;&gt;0)*(AH412&lt;&gt;"")*(AK412="-")),IF(AG412="X",Übersicht!$C$70,Übersicht!$C$69),"-")</f>
        <v>-</v>
      </c>
      <c r="AA412" s="252" t="str">
        <f>IF((($A412="")*($B412=""))+((MID($Y412,1,4)&lt;&gt;"Wahl")*(Deckblatt!$C$14='WK-Vorlagen'!$C$82))+(Deckblatt!$C$14&lt;&gt;'WK-Vorlagen'!$C$82),"",IF(ISERROR(MATCH(VALUE(MID(G412,1,2)),Schwierigkeitsstufen!$G$7:$G$19,0)),"Gerät falsch",LOOKUP(VALUE(MID(G412,1,2)),Schwierigkeitsstufen!$G$7:$G$19,Schwierigkeitsstufen!$H$7:$H$19)))</f>
        <v/>
      </c>
      <c r="AB412" s="250" t="str">
        <f>IF((($A412="")*($B412=""))+((MID($Y412,1,4)&lt;&gt;"Wahl")*(Deckblatt!$C$14='WK-Vorlagen'!$C$82))+(Deckblatt!$C$14&lt;&gt;'WK-Vorlagen'!$C$82),"",IF(ISERROR(MATCH(VALUE(MID(H412,1,2)),Schwierigkeitsstufen!$G$7:$G$19,0)),"Gerät falsch",LOOKUP(VALUE(MID(H412,1,2)),Schwierigkeitsstufen!$G$7:$G$19,Schwierigkeitsstufen!$H$7:$H$19)))</f>
        <v/>
      </c>
      <c r="AC412" s="250" t="str">
        <f>IF((($A412="")*($B412=""))+((MID($Y412,1,4)&lt;&gt;"Wahl")*(Deckblatt!$C$14='WK-Vorlagen'!$C$82))+(Deckblatt!$C$14&lt;&gt;'WK-Vorlagen'!$C$82),"",IF(ISERROR(MATCH(VALUE(MID(I412,1,2)),Schwierigkeitsstufen!$G$7:$G$19,0)),"Gerät falsch",LOOKUP(VALUE(MID(I412,1,2)),Schwierigkeitsstufen!$G$7:$G$19,Schwierigkeitsstufen!$H$7:$H$19)))</f>
        <v/>
      </c>
      <c r="AD412" s="251" t="str">
        <f>IF((($A412="")*($B412=""))+((MID($Y412,1,4)&lt;&gt;"Wahl")*(Deckblatt!$C$14='WK-Vorlagen'!$C$82))+(Deckblatt!$C$14&lt;&gt;'WK-Vorlagen'!$C$82),"",IF(ISERROR(MATCH(VALUE(MID(J412,1,2)),Schwierigkeitsstufen!$G$7:$G$19,0)),"Gerät falsch",LOOKUP(VALUE(MID(J412,1,2)),Schwierigkeitsstufen!$G$7:$G$19,Schwierigkeitsstufen!$H$7:$H$19)))</f>
        <v/>
      </c>
      <c r="AE412" s="211"/>
      <c r="AG412" s="221" t="str">
        <f t="shared" si="54"/>
        <v/>
      </c>
      <c r="AH412" s="222" t="str">
        <f t="shared" si="56"/>
        <v/>
      </c>
      <c r="AI412" s="220">
        <f t="shared" si="61"/>
        <v>4</v>
      </c>
      <c r="AJ412" s="222">
        <f t="shared" si="57"/>
        <v>0</v>
      </c>
      <c r="AK412" s="299" t="str">
        <f>IF(ISERROR(LOOKUP(E412,WKNrListe,Übersicht!$R$7:$R$46)),"-",LOOKUP(E412,WKNrListe,Übersicht!$R$7:$R$46))</f>
        <v>-</v>
      </c>
      <c r="AL412" s="299" t="str">
        <f t="shared" si="60"/>
        <v>-</v>
      </c>
      <c r="AM412" s="303"/>
      <c r="AN412" s="174" t="str">
        <f t="shared" si="53"/>
        <v>Leer</v>
      </c>
    </row>
    <row r="413" spans="1:40" s="174" customFormat="1" ht="15" customHeight="1">
      <c r="A413" s="63"/>
      <c r="B413" s="63"/>
      <c r="C413" s="84"/>
      <c r="D413" s="85"/>
      <c r="E413" s="62"/>
      <c r="F413" s="62"/>
      <c r="G413" s="62"/>
      <c r="H413" s="62"/>
      <c r="I413" s="62"/>
      <c r="J413" s="62"/>
      <c r="K413" s="62"/>
      <c r="L413" s="62"/>
      <c r="M413" s="62"/>
      <c r="N413" s="62"/>
      <c r="O413" s="62"/>
      <c r="P413" s="62"/>
      <c r="Q413" s="62"/>
      <c r="R413" s="62"/>
      <c r="S413" s="258"/>
      <c r="T413" s="248" t="str">
        <f t="shared" si="58"/>
        <v/>
      </c>
      <c r="U413" s="249" t="str">
        <f t="shared" si="59"/>
        <v/>
      </c>
      <c r="V413" s="294" t="str">
        <f t="shared" si="55"/>
        <v/>
      </c>
      <c r="W413" s="294" t="str">
        <f>IF(((E413="")+(F413="")),"",IF(VLOOKUP(F413,Mannschaften!$A$1:$B$54,2,FALSE)&lt;&gt;E413,"Reiter Mannschaften füllen",""))</f>
        <v/>
      </c>
      <c r="X413" s="248" t="str">
        <f>IF(ISBLANK(C413),"",IF((U413&gt;(LOOKUP(E413,WKNrListe,Übersicht!$O$7:$O$46)))+(U413&lt;(LOOKUP(E413,WKNrListe,Übersicht!$P$7:$P$46))),"JG falsch",""))</f>
        <v/>
      </c>
      <c r="Y413" s="255" t="str">
        <f>IF((A413="")*(B413=""),"",IF(ISERROR(MATCH(E413,WKNrListe,0)),"WK falsch",LOOKUP(E413,WKNrListe,Übersicht!$B$7:$B$46)))</f>
        <v/>
      </c>
      <c r="Z413" s="269" t="str">
        <f>IF(((AJ413=0)*(AH413&lt;&gt;"")*(AK413="-"))+((AJ413&lt;&gt;0)*(AH413&lt;&gt;"")*(AK413="-")),IF(AG413="X",Übersicht!$C$70,Übersicht!$C$69),"-")</f>
        <v>-</v>
      </c>
      <c r="AA413" s="252" t="str">
        <f>IF((($A413="")*($B413=""))+((MID($Y413,1,4)&lt;&gt;"Wahl")*(Deckblatt!$C$14='WK-Vorlagen'!$C$82))+(Deckblatt!$C$14&lt;&gt;'WK-Vorlagen'!$C$82),"",IF(ISERROR(MATCH(VALUE(MID(G413,1,2)),Schwierigkeitsstufen!$G$7:$G$19,0)),"Gerät falsch",LOOKUP(VALUE(MID(G413,1,2)),Schwierigkeitsstufen!$G$7:$G$19,Schwierigkeitsstufen!$H$7:$H$19)))</f>
        <v/>
      </c>
      <c r="AB413" s="250" t="str">
        <f>IF((($A413="")*($B413=""))+((MID($Y413,1,4)&lt;&gt;"Wahl")*(Deckblatt!$C$14='WK-Vorlagen'!$C$82))+(Deckblatt!$C$14&lt;&gt;'WK-Vorlagen'!$C$82),"",IF(ISERROR(MATCH(VALUE(MID(H413,1,2)),Schwierigkeitsstufen!$G$7:$G$19,0)),"Gerät falsch",LOOKUP(VALUE(MID(H413,1,2)),Schwierigkeitsstufen!$G$7:$G$19,Schwierigkeitsstufen!$H$7:$H$19)))</f>
        <v/>
      </c>
      <c r="AC413" s="250" t="str">
        <f>IF((($A413="")*($B413=""))+((MID($Y413,1,4)&lt;&gt;"Wahl")*(Deckblatt!$C$14='WK-Vorlagen'!$C$82))+(Deckblatt!$C$14&lt;&gt;'WK-Vorlagen'!$C$82),"",IF(ISERROR(MATCH(VALUE(MID(I413,1,2)),Schwierigkeitsstufen!$G$7:$G$19,0)),"Gerät falsch",LOOKUP(VALUE(MID(I413,1,2)),Schwierigkeitsstufen!$G$7:$G$19,Schwierigkeitsstufen!$H$7:$H$19)))</f>
        <v/>
      </c>
      <c r="AD413" s="251" t="str">
        <f>IF((($A413="")*($B413=""))+((MID($Y413,1,4)&lt;&gt;"Wahl")*(Deckblatt!$C$14='WK-Vorlagen'!$C$82))+(Deckblatt!$C$14&lt;&gt;'WK-Vorlagen'!$C$82),"",IF(ISERROR(MATCH(VALUE(MID(J413,1,2)),Schwierigkeitsstufen!$G$7:$G$19,0)),"Gerät falsch",LOOKUP(VALUE(MID(J413,1,2)),Schwierigkeitsstufen!$G$7:$G$19,Schwierigkeitsstufen!$H$7:$H$19)))</f>
        <v/>
      </c>
      <c r="AE413" s="211"/>
      <c r="AG413" s="221" t="str">
        <f t="shared" si="54"/>
        <v/>
      </c>
      <c r="AH413" s="222" t="str">
        <f t="shared" si="56"/>
        <v/>
      </c>
      <c r="AI413" s="220">
        <f t="shared" si="61"/>
        <v>4</v>
      </c>
      <c r="AJ413" s="222">
        <f t="shared" si="57"/>
        <v>0</v>
      </c>
      <c r="AK413" s="299" t="str">
        <f>IF(ISERROR(LOOKUP(E413,WKNrListe,Übersicht!$R$7:$R$46)),"-",LOOKUP(E413,WKNrListe,Übersicht!$R$7:$R$46))</f>
        <v>-</v>
      </c>
      <c r="AL413" s="299" t="str">
        <f t="shared" si="60"/>
        <v>-</v>
      </c>
      <c r="AM413" s="303"/>
      <c r="AN413" s="174" t="str">
        <f t="shared" si="53"/>
        <v>Leer</v>
      </c>
    </row>
    <row r="414" spans="1:40" s="174" customFormat="1" ht="15" customHeight="1">
      <c r="A414" s="63"/>
      <c r="B414" s="63"/>
      <c r="C414" s="84"/>
      <c r="D414" s="85"/>
      <c r="E414" s="62"/>
      <c r="F414" s="62"/>
      <c r="G414" s="62"/>
      <c r="H414" s="62"/>
      <c r="I414" s="62"/>
      <c r="J414" s="62"/>
      <c r="K414" s="62"/>
      <c r="L414" s="62"/>
      <c r="M414" s="62"/>
      <c r="N414" s="62"/>
      <c r="O414" s="62"/>
      <c r="P414" s="62"/>
      <c r="Q414" s="62"/>
      <c r="R414" s="62"/>
      <c r="S414" s="258"/>
      <c r="T414" s="248" t="str">
        <f t="shared" si="58"/>
        <v/>
      </c>
      <c r="U414" s="249" t="str">
        <f t="shared" si="59"/>
        <v/>
      </c>
      <c r="V414" s="294" t="str">
        <f t="shared" si="55"/>
        <v/>
      </c>
      <c r="W414" s="294" t="str">
        <f>IF(((E414="")+(F414="")),"",IF(VLOOKUP(F414,Mannschaften!$A$1:$B$54,2,FALSE)&lt;&gt;E414,"Reiter Mannschaften füllen",""))</f>
        <v/>
      </c>
      <c r="X414" s="248" t="str">
        <f>IF(ISBLANK(C414),"",IF((U414&gt;(LOOKUP(E414,WKNrListe,Übersicht!$O$7:$O$46)))+(U414&lt;(LOOKUP(E414,WKNrListe,Übersicht!$P$7:$P$46))),"JG falsch",""))</f>
        <v/>
      </c>
      <c r="Y414" s="255" t="str">
        <f>IF((A414="")*(B414=""),"",IF(ISERROR(MATCH(E414,WKNrListe,0)),"WK falsch",LOOKUP(E414,WKNrListe,Übersicht!$B$7:$B$46)))</f>
        <v/>
      </c>
      <c r="Z414" s="269" t="str">
        <f>IF(((AJ414=0)*(AH414&lt;&gt;"")*(AK414="-"))+((AJ414&lt;&gt;0)*(AH414&lt;&gt;"")*(AK414="-")),IF(AG414="X",Übersicht!$C$70,Übersicht!$C$69),"-")</f>
        <v>-</v>
      </c>
      <c r="AA414" s="252" t="str">
        <f>IF((($A414="")*($B414=""))+((MID($Y414,1,4)&lt;&gt;"Wahl")*(Deckblatt!$C$14='WK-Vorlagen'!$C$82))+(Deckblatt!$C$14&lt;&gt;'WK-Vorlagen'!$C$82),"",IF(ISERROR(MATCH(VALUE(MID(G414,1,2)),Schwierigkeitsstufen!$G$7:$G$19,0)),"Gerät falsch",LOOKUP(VALUE(MID(G414,1,2)),Schwierigkeitsstufen!$G$7:$G$19,Schwierigkeitsstufen!$H$7:$H$19)))</f>
        <v/>
      </c>
      <c r="AB414" s="250" t="str">
        <f>IF((($A414="")*($B414=""))+((MID($Y414,1,4)&lt;&gt;"Wahl")*(Deckblatt!$C$14='WK-Vorlagen'!$C$82))+(Deckblatt!$C$14&lt;&gt;'WK-Vorlagen'!$C$82),"",IF(ISERROR(MATCH(VALUE(MID(H414,1,2)),Schwierigkeitsstufen!$G$7:$G$19,0)),"Gerät falsch",LOOKUP(VALUE(MID(H414,1,2)),Schwierigkeitsstufen!$G$7:$G$19,Schwierigkeitsstufen!$H$7:$H$19)))</f>
        <v/>
      </c>
      <c r="AC414" s="250" t="str">
        <f>IF((($A414="")*($B414=""))+((MID($Y414,1,4)&lt;&gt;"Wahl")*(Deckblatt!$C$14='WK-Vorlagen'!$C$82))+(Deckblatt!$C$14&lt;&gt;'WK-Vorlagen'!$C$82),"",IF(ISERROR(MATCH(VALUE(MID(I414,1,2)),Schwierigkeitsstufen!$G$7:$G$19,0)),"Gerät falsch",LOOKUP(VALUE(MID(I414,1,2)),Schwierigkeitsstufen!$G$7:$G$19,Schwierigkeitsstufen!$H$7:$H$19)))</f>
        <v/>
      </c>
      <c r="AD414" s="251" t="str">
        <f>IF((($A414="")*($B414=""))+((MID($Y414,1,4)&lt;&gt;"Wahl")*(Deckblatt!$C$14='WK-Vorlagen'!$C$82))+(Deckblatt!$C$14&lt;&gt;'WK-Vorlagen'!$C$82),"",IF(ISERROR(MATCH(VALUE(MID(J414,1,2)),Schwierigkeitsstufen!$G$7:$G$19,0)),"Gerät falsch",LOOKUP(VALUE(MID(J414,1,2)),Schwierigkeitsstufen!$G$7:$G$19,Schwierigkeitsstufen!$H$7:$H$19)))</f>
        <v/>
      </c>
      <c r="AE414" s="211"/>
      <c r="AG414" s="221" t="str">
        <f t="shared" si="54"/>
        <v/>
      </c>
      <c r="AH414" s="222" t="str">
        <f t="shared" si="56"/>
        <v/>
      </c>
      <c r="AI414" s="220">
        <f t="shared" si="61"/>
        <v>4</v>
      </c>
      <c r="AJ414" s="222">
        <f t="shared" si="57"/>
        <v>0</v>
      </c>
      <c r="AK414" s="299" t="str">
        <f>IF(ISERROR(LOOKUP(E414,WKNrListe,Übersicht!$R$7:$R$46)),"-",LOOKUP(E414,WKNrListe,Übersicht!$R$7:$R$46))</f>
        <v>-</v>
      </c>
      <c r="AL414" s="299" t="str">
        <f t="shared" si="60"/>
        <v>-</v>
      </c>
      <c r="AM414" s="303"/>
      <c r="AN414" s="174" t="str">
        <f t="shared" si="53"/>
        <v>Leer</v>
      </c>
    </row>
    <row r="415" spans="1:40" s="174" customFormat="1" ht="15" customHeight="1">
      <c r="A415" s="63"/>
      <c r="B415" s="63"/>
      <c r="C415" s="84"/>
      <c r="D415" s="85"/>
      <c r="E415" s="62"/>
      <c r="F415" s="62"/>
      <c r="G415" s="62"/>
      <c r="H415" s="62"/>
      <c r="I415" s="62"/>
      <c r="J415" s="62"/>
      <c r="K415" s="62"/>
      <c r="L415" s="62"/>
      <c r="M415" s="62"/>
      <c r="N415" s="62"/>
      <c r="O415" s="62"/>
      <c r="P415" s="62"/>
      <c r="Q415" s="62"/>
      <c r="R415" s="62"/>
      <c r="S415" s="258"/>
      <c r="T415" s="248" t="str">
        <f t="shared" si="58"/>
        <v/>
      </c>
      <c r="U415" s="249" t="str">
        <f t="shared" si="59"/>
        <v/>
      </c>
      <c r="V415" s="294" t="str">
        <f t="shared" si="55"/>
        <v/>
      </c>
      <c r="W415" s="294" t="str">
        <f>IF(((E415="")+(F415="")),"",IF(VLOOKUP(F415,Mannschaften!$A$1:$B$54,2,FALSE)&lt;&gt;E415,"Reiter Mannschaften füllen",""))</f>
        <v/>
      </c>
      <c r="X415" s="248" t="str">
        <f>IF(ISBLANK(C415),"",IF((U415&gt;(LOOKUP(E415,WKNrListe,Übersicht!$O$7:$O$46)))+(U415&lt;(LOOKUP(E415,WKNrListe,Übersicht!$P$7:$P$46))),"JG falsch",""))</f>
        <v/>
      </c>
      <c r="Y415" s="255" t="str">
        <f>IF((A415="")*(B415=""),"",IF(ISERROR(MATCH(E415,WKNrListe,0)),"WK falsch",LOOKUP(E415,WKNrListe,Übersicht!$B$7:$B$46)))</f>
        <v/>
      </c>
      <c r="Z415" s="269" t="str">
        <f>IF(((AJ415=0)*(AH415&lt;&gt;"")*(AK415="-"))+((AJ415&lt;&gt;0)*(AH415&lt;&gt;"")*(AK415="-")),IF(AG415="X",Übersicht!$C$70,Übersicht!$C$69),"-")</f>
        <v>-</v>
      </c>
      <c r="AA415" s="252" t="str">
        <f>IF((($A415="")*($B415=""))+((MID($Y415,1,4)&lt;&gt;"Wahl")*(Deckblatt!$C$14='WK-Vorlagen'!$C$82))+(Deckblatt!$C$14&lt;&gt;'WK-Vorlagen'!$C$82),"",IF(ISERROR(MATCH(VALUE(MID(G415,1,2)),Schwierigkeitsstufen!$G$7:$G$19,0)),"Gerät falsch",LOOKUP(VALUE(MID(G415,1,2)),Schwierigkeitsstufen!$G$7:$G$19,Schwierigkeitsstufen!$H$7:$H$19)))</f>
        <v/>
      </c>
      <c r="AB415" s="250" t="str">
        <f>IF((($A415="")*($B415=""))+((MID($Y415,1,4)&lt;&gt;"Wahl")*(Deckblatt!$C$14='WK-Vorlagen'!$C$82))+(Deckblatt!$C$14&lt;&gt;'WK-Vorlagen'!$C$82),"",IF(ISERROR(MATCH(VALUE(MID(H415,1,2)),Schwierigkeitsstufen!$G$7:$G$19,0)),"Gerät falsch",LOOKUP(VALUE(MID(H415,1,2)),Schwierigkeitsstufen!$G$7:$G$19,Schwierigkeitsstufen!$H$7:$H$19)))</f>
        <v/>
      </c>
      <c r="AC415" s="250" t="str">
        <f>IF((($A415="")*($B415=""))+((MID($Y415,1,4)&lt;&gt;"Wahl")*(Deckblatt!$C$14='WK-Vorlagen'!$C$82))+(Deckblatt!$C$14&lt;&gt;'WK-Vorlagen'!$C$82),"",IF(ISERROR(MATCH(VALUE(MID(I415,1,2)),Schwierigkeitsstufen!$G$7:$G$19,0)),"Gerät falsch",LOOKUP(VALUE(MID(I415,1,2)),Schwierigkeitsstufen!$G$7:$G$19,Schwierigkeitsstufen!$H$7:$H$19)))</f>
        <v/>
      </c>
      <c r="AD415" s="251" t="str">
        <f>IF((($A415="")*($B415=""))+((MID($Y415,1,4)&lt;&gt;"Wahl")*(Deckblatt!$C$14='WK-Vorlagen'!$C$82))+(Deckblatt!$C$14&lt;&gt;'WK-Vorlagen'!$C$82),"",IF(ISERROR(MATCH(VALUE(MID(J415,1,2)),Schwierigkeitsstufen!$G$7:$G$19,0)),"Gerät falsch",LOOKUP(VALUE(MID(J415,1,2)),Schwierigkeitsstufen!$G$7:$G$19,Schwierigkeitsstufen!$H$7:$H$19)))</f>
        <v/>
      </c>
      <c r="AE415" s="211"/>
      <c r="AG415" s="221" t="str">
        <f t="shared" si="54"/>
        <v/>
      </c>
      <c r="AH415" s="222" t="str">
        <f t="shared" si="56"/>
        <v/>
      </c>
      <c r="AI415" s="220">
        <f t="shared" si="61"/>
        <v>4</v>
      </c>
      <c r="AJ415" s="222">
        <f t="shared" si="57"/>
        <v>0</v>
      </c>
      <c r="AK415" s="299" t="str">
        <f>IF(ISERROR(LOOKUP(E415,WKNrListe,Übersicht!$R$7:$R$46)),"-",LOOKUP(E415,WKNrListe,Übersicht!$R$7:$R$46))</f>
        <v>-</v>
      </c>
      <c r="AL415" s="299" t="str">
        <f t="shared" si="60"/>
        <v>-</v>
      </c>
      <c r="AM415" s="303"/>
      <c r="AN415" s="174" t="str">
        <f t="shared" si="53"/>
        <v>Leer</v>
      </c>
    </row>
    <row r="416" spans="1:40" s="174" customFormat="1" ht="15" customHeight="1">
      <c r="A416" s="63"/>
      <c r="B416" s="63"/>
      <c r="C416" s="84"/>
      <c r="D416" s="85"/>
      <c r="E416" s="62"/>
      <c r="F416" s="62"/>
      <c r="G416" s="62"/>
      <c r="H416" s="62"/>
      <c r="I416" s="62"/>
      <c r="J416" s="62"/>
      <c r="K416" s="62"/>
      <c r="L416" s="62"/>
      <c r="M416" s="62"/>
      <c r="N416" s="62"/>
      <c r="O416" s="62"/>
      <c r="P416" s="62"/>
      <c r="Q416" s="62"/>
      <c r="R416" s="62"/>
      <c r="S416" s="258"/>
      <c r="T416" s="248" t="str">
        <f t="shared" si="58"/>
        <v/>
      </c>
      <c r="U416" s="249" t="str">
        <f t="shared" si="59"/>
        <v/>
      </c>
      <c r="V416" s="294" t="str">
        <f t="shared" si="55"/>
        <v/>
      </c>
      <c r="W416" s="294" t="str">
        <f>IF(((E416="")+(F416="")),"",IF(VLOOKUP(F416,Mannschaften!$A$1:$B$54,2,FALSE)&lt;&gt;E416,"Reiter Mannschaften füllen",""))</f>
        <v/>
      </c>
      <c r="X416" s="248" t="str">
        <f>IF(ISBLANK(C416),"",IF((U416&gt;(LOOKUP(E416,WKNrListe,Übersicht!$O$7:$O$46)))+(U416&lt;(LOOKUP(E416,WKNrListe,Übersicht!$P$7:$P$46))),"JG falsch",""))</f>
        <v/>
      </c>
      <c r="Y416" s="255" t="str">
        <f>IF((A416="")*(B416=""),"",IF(ISERROR(MATCH(E416,WKNrListe,0)),"WK falsch",LOOKUP(E416,WKNrListe,Übersicht!$B$7:$B$46)))</f>
        <v/>
      </c>
      <c r="Z416" s="269" t="str">
        <f>IF(((AJ416=0)*(AH416&lt;&gt;"")*(AK416="-"))+((AJ416&lt;&gt;0)*(AH416&lt;&gt;"")*(AK416="-")),IF(AG416="X",Übersicht!$C$70,Übersicht!$C$69),"-")</f>
        <v>-</v>
      </c>
      <c r="AA416" s="252" t="str">
        <f>IF((($A416="")*($B416=""))+((MID($Y416,1,4)&lt;&gt;"Wahl")*(Deckblatt!$C$14='WK-Vorlagen'!$C$82))+(Deckblatt!$C$14&lt;&gt;'WK-Vorlagen'!$C$82),"",IF(ISERROR(MATCH(VALUE(MID(G416,1,2)),Schwierigkeitsstufen!$G$7:$G$19,0)),"Gerät falsch",LOOKUP(VALUE(MID(G416,1,2)),Schwierigkeitsstufen!$G$7:$G$19,Schwierigkeitsstufen!$H$7:$H$19)))</f>
        <v/>
      </c>
      <c r="AB416" s="250" t="str">
        <f>IF((($A416="")*($B416=""))+((MID($Y416,1,4)&lt;&gt;"Wahl")*(Deckblatt!$C$14='WK-Vorlagen'!$C$82))+(Deckblatt!$C$14&lt;&gt;'WK-Vorlagen'!$C$82),"",IF(ISERROR(MATCH(VALUE(MID(H416,1,2)),Schwierigkeitsstufen!$G$7:$G$19,0)),"Gerät falsch",LOOKUP(VALUE(MID(H416,1,2)),Schwierigkeitsstufen!$G$7:$G$19,Schwierigkeitsstufen!$H$7:$H$19)))</f>
        <v/>
      </c>
      <c r="AC416" s="250" t="str">
        <f>IF((($A416="")*($B416=""))+((MID($Y416,1,4)&lt;&gt;"Wahl")*(Deckblatt!$C$14='WK-Vorlagen'!$C$82))+(Deckblatt!$C$14&lt;&gt;'WK-Vorlagen'!$C$82),"",IF(ISERROR(MATCH(VALUE(MID(I416,1,2)),Schwierigkeitsstufen!$G$7:$G$19,0)),"Gerät falsch",LOOKUP(VALUE(MID(I416,1,2)),Schwierigkeitsstufen!$G$7:$G$19,Schwierigkeitsstufen!$H$7:$H$19)))</f>
        <v/>
      </c>
      <c r="AD416" s="251" t="str">
        <f>IF((($A416="")*($B416=""))+((MID($Y416,1,4)&lt;&gt;"Wahl")*(Deckblatt!$C$14='WK-Vorlagen'!$C$82))+(Deckblatt!$C$14&lt;&gt;'WK-Vorlagen'!$C$82),"",IF(ISERROR(MATCH(VALUE(MID(J416,1,2)),Schwierigkeitsstufen!$G$7:$G$19,0)),"Gerät falsch",LOOKUP(VALUE(MID(J416,1,2)),Schwierigkeitsstufen!$G$7:$G$19,Schwierigkeitsstufen!$H$7:$H$19)))</f>
        <v/>
      </c>
      <c r="AE416" s="211"/>
      <c r="AG416" s="221" t="str">
        <f t="shared" si="54"/>
        <v/>
      </c>
      <c r="AH416" s="222" t="str">
        <f t="shared" si="56"/>
        <v/>
      </c>
      <c r="AI416" s="220">
        <f t="shared" si="61"/>
        <v>4</v>
      </c>
      <c r="AJ416" s="222">
        <f t="shared" si="57"/>
        <v>0</v>
      </c>
      <c r="AK416" s="299" t="str">
        <f>IF(ISERROR(LOOKUP(E416,WKNrListe,Übersicht!$R$7:$R$46)),"-",LOOKUP(E416,WKNrListe,Übersicht!$R$7:$R$46))</f>
        <v>-</v>
      </c>
      <c r="AL416" s="299" t="str">
        <f t="shared" si="60"/>
        <v>-</v>
      </c>
      <c r="AM416" s="303"/>
      <c r="AN416" s="174" t="str">
        <f t="shared" si="53"/>
        <v>Leer</v>
      </c>
    </row>
    <row r="417" spans="1:40" s="174" customFormat="1" ht="15" customHeight="1">
      <c r="A417" s="63"/>
      <c r="B417" s="63"/>
      <c r="C417" s="84"/>
      <c r="D417" s="85"/>
      <c r="E417" s="62"/>
      <c r="F417" s="62"/>
      <c r="G417" s="62"/>
      <c r="H417" s="62"/>
      <c r="I417" s="62"/>
      <c r="J417" s="62"/>
      <c r="K417" s="62"/>
      <c r="L417" s="62"/>
      <c r="M417" s="62"/>
      <c r="N417" s="62"/>
      <c r="O417" s="62"/>
      <c r="P417" s="62"/>
      <c r="Q417" s="62"/>
      <c r="R417" s="62"/>
      <c r="S417" s="258"/>
      <c r="T417" s="248" t="str">
        <f t="shared" si="58"/>
        <v/>
      </c>
      <c r="U417" s="249" t="str">
        <f t="shared" si="59"/>
        <v/>
      </c>
      <c r="V417" s="294" t="str">
        <f t="shared" si="55"/>
        <v/>
      </c>
      <c r="W417" s="294" t="str">
        <f>IF(((E417="")+(F417="")),"",IF(VLOOKUP(F417,Mannschaften!$A$1:$B$54,2,FALSE)&lt;&gt;E417,"Reiter Mannschaften füllen",""))</f>
        <v/>
      </c>
      <c r="X417" s="248" t="str">
        <f>IF(ISBLANK(C417),"",IF((U417&gt;(LOOKUP(E417,WKNrListe,Übersicht!$O$7:$O$46)))+(U417&lt;(LOOKUP(E417,WKNrListe,Übersicht!$P$7:$P$46))),"JG falsch",""))</f>
        <v/>
      </c>
      <c r="Y417" s="255" t="str">
        <f>IF((A417="")*(B417=""),"",IF(ISERROR(MATCH(E417,WKNrListe,0)),"WK falsch",LOOKUP(E417,WKNrListe,Übersicht!$B$7:$B$46)))</f>
        <v/>
      </c>
      <c r="Z417" s="269" t="str">
        <f>IF(((AJ417=0)*(AH417&lt;&gt;"")*(AK417="-"))+((AJ417&lt;&gt;0)*(AH417&lt;&gt;"")*(AK417="-")),IF(AG417="X",Übersicht!$C$70,Übersicht!$C$69),"-")</f>
        <v>-</v>
      </c>
      <c r="AA417" s="252" t="str">
        <f>IF((($A417="")*($B417=""))+((MID($Y417,1,4)&lt;&gt;"Wahl")*(Deckblatt!$C$14='WK-Vorlagen'!$C$82))+(Deckblatt!$C$14&lt;&gt;'WK-Vorlagen'!$C$82),"",IF(ISERROR(MATCH(VALUE(MID(G417,1,2)),Schwierigkeitsstufen!$G$7:$G$19,0)),"Gerät falsch",LOOKUP(VALUE(MID(G417,1,2)),Schwierigkeitsstufen!$G$7:$G$19,Schwierigkeitsstufen!$H$7:$H$19)))</f>
        <v/>
      </c>
      <c r="AB417" s="250" t="str">
        <f>IF((($A417="")*($B417=""))+((MID($Y417,1,4)&lt;&gt;"Wahl")*(Deckblatt!$C$14='WK-Vorlagen'!$C$82))+(Deckblatt!$C$14&lt;&gt;'WK-Vorlagen'!$C$82),"",IF(ISERROR(MATCH(VALUE(MID(H417,1,2)),Schwierigkeitsstufen!$G$7:$G$19,0)),"Gerät falsch",LOOKUP(VALUE(MID(H417,1,2)),Schwierigkeitsstufen!$G$7:$G$19,Schwierigkeitsstufen!$H$7:$H$19)))</f>
        <v/>
      </c>
      <c r="AC417" s="250" t="str">
        <f>IF((($A417="")*($B417=""))+((MID($Y417,1,4)&lt;&gt;"Wahl")*(Deckblatt!$C$14='WK-Vorlagen'!$C$82))+(Deckblatt!$C$14&lt;&gt;'WK-Vorlagen'!$C$82),"",IF(ISERROR(MATCH(VALUE(MID(I417,1,2)),Schwierigkeitsstufen!$G$7:$G$19,0)),"Gerät falsch",LOOKUP(VALUE(MID(I417,1,2)),Schwierigkeitsstufen!$G$7:$G$19,Schwierigkeitsstufen!$H$7:$H$19)))</f>
        <v/>
      </c>
      <c r="AD417" s="251" t="str">
        <f>IF((($A417="")*($B417=""))+((MID($Y417,1,4)&lt;&gt;"Wahl")*(Deckblatt!$C$14='WK-Vorlagen'!$C$82))+(Deckblatt!$C$14&lt;&gt;'WK-Vorlagen'!$C$82),"",IF(ISERROR(MATCH(VALUE(MID(J417,1,2)),Schwierigkeitsstufen!$G$7:$G$19,0)),"Gerät falsch",LOOKUP(VALUE(MID(J417,1,2)),Schwierigkeitsstufen!$G$7:$G$19,Schwierigkeitsstufen!$H$7:$H$19)))</f>
        <v/>
      </c>
      <c r="AE417" s="211"/>
      <c r="AG417" s="221" t="str">
        <f t="shared" si="54"/>
        <v/>
      </c>
      <c r="AH417" s="222" t="str">
        <f t="shared" si="56"/>
        <v/>
      </c>
      <c r="AI417" s="220">
        <f t="shared" si="61"/>
        <v>4</v>
      </c>
      <c r="AJ417" s="222">
        <f t="shared" si="57"/>
        <v>0</v>
      </c>
      <c r="AK417" s="299" t="str">
        <f>IF(ISERROR(LOOKUP(E417,WKNrListe,Übersicht!$R$7:$R$46)),"-",LOOKUP(E417,WKNrListe,Übersicht!$R$7:$R$46))</f>
        <v>-</v>
      </c>
      <c r="AL417" s="299" t="str">
        <f t="shared" si="60"/>
        <v>-</v>
      </c>
      <c r="AM417" s="303"/>
      <c r="AN417" s="174" t="str">
        <f t="shared" si="53"/>
        <v>Leer</v>
      </c>
    </row>
    <row r="418" spans="1:40" s="174" customFormat="1" ht="15" customHeight="1">
      <c r="A418" s="63"/>
      <c r="B418" s="63"/>
      <c r="C418" s="84"/>
      <c r="D418" s="85"/>
      <c r="E418" s="62"/>
      <c r="F418" s="62"/>
      <c r="G418" s="62"/>
      <c r="H418" s="62"/>
      <c r="I418" s="62"/>
      <c r="J418" s="62"/>
      <c r="K418" s="62"/>
      <c r="L418" s="62"/>
      <c r="M418" s="62"/>
      <c r="N418" s="62"/>
      <c r="O418" s="62"/>
      <c r="P418" s="62"/>
      <c r="Q418" s="62"/>
      <c r="R418" s="62"/>
      <c r="S418" s="258"/>
      <c r="T418" s="248" t="str">
        <f t="shared" si="58"/>
        <v/>
      </c>
      <c r="U418" s="249" t="str">
        <f t="shared" si="59"/>
        <v/>
      </c>
      <c r="V418" s="294" t="str">
        <f t="shared" si="55"/>
        <v/>
      </c>
      <c r="W418" s="294" t="str">
        <f>IF(((E418="")+(F418="")),"",IF(VLOOKUP(F418,Mannschaften!$A$1:$B$54,2,FALSE)&lt;&gt;E418,"Reiter Mannschaften füllen",""))</f>
        <v/>
      </c>
      <c r="X418" s="248" t="str">
        <f>IF(ISBLANK(C418),"",IF((U418&gt;(LOOKUP(E418,WKNrListe,Übersicht!$O$7:$O$46)))+(U418&lt;(LOOKUP(E418,WKNrListe,Übersicht!$P$7:$P$46))),"JG falsch",""))</f>
        <v/>
      </c>
      <c r="Y418" s="255" t="str">
        <f>IF((A418="")*(B418=""),"",IF(ISERROR(MATCH(E418,WKNrListe,0)),"WK falsch",LOOKUP(E418,WKNrListe,Übersicht!$B$7:$B$46)))</f>
        <v/>
      </c>
      <c r="Z418" s="269" t="str">
        <f>IF(((AJ418=0)*(AH418&lt;&gt;"")*(AK418="-"))+((AJ418&lt;&gt;0)*(AH418&lt;&gt;"")*(AK418="-")),IF(AG418="X",Übersicht!$C$70,Übersicht!$C$69),"-")</f>
        <v>-</v>
      </c>
      <c r="AA418" s="252" t="str">
        <f>IF((($A418="")*($B418=""))+((MID($Y418,1,4)&lt;&gt;"Wahl")*(Deckblatt!$C$14='WK-Vorlagen'!$C$82))+(Deckblatt!$C$14&lt;&gt;'WK-Vorlagen'!$C$82),"",IF(ISERROR(MATCH(VALUE(MID(G418,1,2)),Schwierigkeitsstufen!$G$7:$G$19,0)),"Gerät falsch",LOOKUP(VALUE(MID(G418,1,2)),Schwierigkeitsstufen!$G$7:$G$19,Schwierigkeitsstufen!$H$7:$H$19)))</f>
        <v/>
      </c>
      <c r="AB418" s="250" t="str">
        <f>IF((($A418="")*($B418=""))+((MID($Y418,1,4)&lt;&gt;"Wahl")*(Deckblatt!$C$14='WK-Vorlagen'!$C$82))+(Deckblatt!$C$14&lt;&gt;'WK-Vorlagen'!$C$82),"",IF(ISERROR(MATCH(VALUE(MID(H418,1,2)),Schwierigkeitsstufen!$G$7:$G$19,0)),"Gerät falsch",LOOKUP(VALUE(MID(H418,1,2)),Schwierigkeitsstufen!$G$7:$G$19,Schwierigkeitsstufen!$H$7:$H$19)))</f>
        <v/>
      </c>
      <c r="AC418" s="250" t="str">
        <f>IF((($A418="")*($B418=""))+((MID($Y418,1,4)&lt;&gt;"Wahl")*(Deckblatt!$C$14='WK-Vorlagen'!$C$82))+(Deckblatt!$C$14&lt;&gt;'WK-Vorlagen'!$C$82),"",IF(ISERROR(MATCH(VALUE(MID(I418,1,2)),Schwierigkeitsstufen!$G$7:$G$19,0)),"Gerät falsch",LOOKUP(VALUE(MID(I418,1,2)),Schwierigkeitsstufen!$G$7:$G$19,Schwierigkeitsstufen!$H$7:$H$19)))</f>
        <v/>
      </c>
      <c r="AD418" s="251" t="str">
        <f>IF((($A418="")*($B418=""))+((MID($Y418,1,4)&lt;&gt;"Wahl")*(Deckblatt!$C$14='WK-Vorlagen'!$C$82))+(Deckblatt!$C$14&lt;&gt;'WK-Vorlagen'!$C$82),"",IF(ISERROR(MATCH(VALUE(MID(J418,1,2)),Schwierigkeitsstufen!$G$7:$G$19,0)),"Gerät falsch",LOOKUP(VALUE(MID(J418,1,2)),Schwierigkeitsstufen!$G$7:$G$19,Schwierigkeitsstufen!$H$7:$H$19)))</f>
        <v/>
      </c>
      <c r="AE418" s="211"/>
      <c r="AG418" s="221" t="str">
        <f t="shared" si="54"/>
        <v/>
      </c>
      <c r="AH418" s="222" t="str">
        <f t="shared" si="56"/>
        <v/>
      </c>
      <c r="AI418" s="220">
        <f t="shared" si="61"/>
        <v>4</v>
      </c>
      <c r="AJ418" s="222">
        <f t="shared" si="57"/>
        <v>0</v>
      </c>
      <c r="AK418" s="299" t="str">
        <f>IF(ISERROR(LOOKUP(E418,WKNrListe,Übersicht!$R$7:$R$46)),"-",LOOKUP(E418,WKNrListe,Übersicht!$R$7:$R$46))</f>
        <v>-</v>
      </c>
      <c r="AL418" s="299" t="str">
        <f t="shared" si="60"/>
        <v>-</v>
      </c>
      <c r="AM418" s="303"/>
      <c r="AN418" s="174" t="str">
        <f t="shared" si="53"/>
        <v>Leer</v>
      </c>
    </row>
    <row r="419" spans="1:40" s="174" customFormat="1" ht="15" customHeight="1">
      <c r="A419" s="63"/>
      <c r="B419" s="63"/>
      <c r="C419" s="84"/>
      <c r="D419" s="85"/>
      <c r="E419" s="62"/>
      <c r="F419" s="62"/>
      <c r="G419" s="62"/>
      <c r="H419" s="62"/>
      <c r="I419" s="62"/>
      <c r="J419" s="62"/>
      <c r="K419" s="62"/>
      <c r="L419" s="62"/>
      <c r="M419" s="62"/>
      <c r="N419" s="62"/>
      <c r="O419" s="62"/>
      <c r="P419" s="62"/>
      <c r="Q419" s="62"/>
      <c r="R419" s="62"/>
      <c r="S419" s="258"/>
      <c r="T419" s="248" t="str">
        <f t="shared" si="58"/>
        <v/>
      </c>
      <c r="U419" s="249" t="str">
        <f t="shared" si="59"/>
        <v/>
      </c>
      <c r="V419" s="294" t="str">
        <f t="shared" si="55"/>
        <v/>
      </c>
      <c r="W419" s="294" t="str">
        <f>IF(((E419="")+(F419="")),"",IF(VLOOKUP(F419,Mannschaften!$A$1:$B$54,2,FALSE)&lt;&gt;E419,"Reiter Mannschaften füllen",""))</f>
        <v/>
      </c>
      <c r="X419" s="248" t="str">
        <f>IF(ISBLANK(C419),"",IF((U419&gt;(LOOKUP(E419,WKNrListe,Übersicht!$O$7:$O$46)))+(U419&lt;(LOOKUP(E419,WKNrListe,Übersicht!$P$7:$P$46))),"JG falsch",""))</f>
        <v/>
      </c>
      <c r="Y419" s="255" t="str">
        <f>IF((A419="")*(B419=""),"",IF(ISERROR(MATCH(E419,WKNrListe,0)),"WK falsch",LOOKUP(E419,WKNrListe,Übersicht!$B$7:$B$46)))</f>
        <v/>
      </c>
      <c r="Z419" s="269" t="str">
        <f>IF(((AJ419=0)*(AH419&lt;&gt;"")*(AK419="-"))+((AJ419&lt;&gt;0)*(AH419&lt;&gt;"")*(AK419="-")),IF(AG419="X",Übersicht!$C$70,Übersicht!$C$69),"-")</f>
        <v>-</v>
      </c>
      <c r="AA419" s="252" t="str">
        <f>IF((($A419="")*($B419=""))+((MID($Y419,1,4)&lt;&gt;"Wahl")*(Deckblatt!$C$14='WK-Vorlagen'!$C$82))+(Deckblatt!$C$14&lt;&gt;'WK-Vorlagen'!$C$82),"",IF(ISERROR(MATCH(VALUE(MID(G419,1,2)),Schwierigkeitsstufen!$G$7:$G$19,0)),"Gerät falsch",LOOKUP(VALUE(MID(G419,1,2)),Schwierigkeitsstufen!$G$7:$G$19,Schwierigkeitsstufen!$H$7:$H$19)))</f>
        <v/>
      </c>
      <c r="AB419" s="250" t="str">
        <f>IF((($A419="")*($B419=""))+((MID($Y419,1,4)&lt;&gt;"Wahl")*(Deckblatt!$C$14='WK-Vorlagen'!$C$82))+(Deckblatt!$C$14&lt;&gt;'WK-Vorlagen'!$C$82),"",IF(ISERROR(MATCH(VALUE(MID(H419,1,2)),Schwierigkeitsstufen!$G$7:$G$19,0)),"Gerät falsch",LOOKUP(VALUE(MID(H419,1,2)),Schwierigkeitsstufen!$G$7:$G$19,Schwierigkeitsstufen!$H$7:$H$19)))</f>
        <v/>
      </c>
      <c r="AC419" s="250" t="str">
        <f>IF((($A419="")*($B419=""))+((MID($Y419,1,4)&lt;&gt;"Wahl")*(Deckblatt!$C$14='WK-Vorlagen'!$C$82))+(Deckblatt!$C$14&lt;&gt;'WK-Vorlagen'!$C$82),"",IF(ISERROR(MATCH(VALUE(MID(I419,1,2)),Schwierigkeitsstufen!$G$7:$G$19,0)),"Gerät falsch",LOOKUP(VALUE(MID(I419,1,2)),Schwierigkeitsstufen!$G$7:$G$19,Schwierigkeitsstufen!$H$7:$H$19)))</f>
        <v/>
      </c>
      <c r="AD419" s="251" t="str">
        <f>IF((($A419="")*($B419=""))+((MID($Y419,1,4)&lt;&gt;"Wahl")*(Deckblatt!$C$14='WK-Vorlagen'!$C$82))+(Deckblatt!$C$14&lt;&gt;'WK-Vorlagen'!$C$82),"",IF(ISERROR(MATCH(VALUE(MID(J419,1,2)),Schwierigkeitsstufen!$G$7:$G$19,0)),"Gerät falsch",LOOKUP(VALUE(MID(J419,1,2)),Schwierigkeitsstufen!$G$7:$G$19,Schwierigkeitsstufen!$H$7:$H$19)))</f>
        <v/>
      </c>
      <c r="AE419" s="211"/>
      <c r="AG419" s="221" t="str">
        <f t="shared" si="54"/>
        <v/>
      </c>
      <c r="AH419" s="222" t="str">
        <f t="shared" si="56"/>
        <v/>
      </c>
      <c r="AI419" s="220">
        <f t="shared" si="61"/>
        <v>4</v>
      </c>
      <c r="AJ419" s="222">
        <f t="shared" si="57"/>
        <v>0</v>
      </c>
      <c r="AK419" s="299" t="str">
        <f>IF(ISERROR(LOOKUP(E419,WKNrListe,Übersicht!$R$7:$R$46)),"-",LOOKUP(E419,WKNrListe,Übersicht!$R$7:$R$46))</f>
        <v>-</v>
      </c>
      <c r="AL419" s="299" t="str">
        <f t="shared" si="60"/>
        <v>-</v>
      </c>
      <c r="AM419" s="303"/>
      <c r="AN419" s="174" t="str">
        <f t="shared" si="53"/>
        <v>Leer</v>
      </c>
    </row>
    <row r="420" spans="1:40" s="174" customFormat="1" ht="15" customHeight="1">
      <c r="A420" s="63"/>
      <c r="B420" s="63"/>
      <c r="C420" s="84"/>
      <c r="D420" s="85"/>
      <c r="E420" s="62"/>
      <c r="F420" s="62"/>
      <c r="G420" s="62"/>
      <c r="H420" s="62"/>
      <c r="I420" s="62"/>
      <c r="J420" s="62"/>
      <c r="K420" s="62"/>
      <c r="L420" s="62"/>
      <c r="M420" s="62"/>
      <c r="N420" s="62"/>
      <c r="O420" s="62"/>
      <c r="P420" s="62"/>
      <c r="Q420" s="62"/>
      <c r="R420" s="62"/>
      <c r="S420" s="258"/>
      <c r="T420" s="248" t="str">
        <f t="shared" si="58"/>
        <v/>
      </c>
      <c r="U420" s="249" t="str">
        <f t="shared" si="59"/>
        <v/>
      </c>
      <c r="V420" s="294" t="str">
        <f t="shared" si="55"/>
        <v/>
      </c>
      <c r="W420" s="294" t="str">
        <f>IF(((E420="")+(F420="")),"",IF(VLOOKUP(F420,Mannschaften!$A$1:$B$54,2,FALSE)&lt;&gt;E420,"Reiter Mannschaften füllen",""))</f>
        <v/>
      </c>
      <c r="X420" s="248" t="str">
        <f>IF(ISBLANK(C420),"",IF((U420&gt;(LOOKUP(E420,WKNrListe,Übersicht!$O$7:$O$46)))+(U420&lt;(LOOKUP(E420,WKNrListe,Übersicht!$P$7:$P$46))),"JG falsch",""))</f>
        <v/>
      </c>
      <c r="Y420" s="255" t="str">
        <f>IF((A420="")*(B420=""),"",IF(ISERROR(MATCH(E420,WKNrListe,0)),"WK falsch",LOOKUP(E420,WKNrListe,Übersicht!$B$7:$B$46)))</f>
        <v/>
      </c>
      <c r="Z420" s="269" t="str">
        <f>IF(((AJ420=0)*(AH420&lt;&gt;"")*(AK420="-"))+((AJ420&lt;&gt;0)*(AH420&lt;&gt;"")*(AK420="-")),IF(AG420="X",Übersicht!$C$70,Übersicht!$C$69),"-")</f>
        <v>-</v>
      </c>
      <c r="AA420" s="252" t="str">
        <f>IF((($A420="")*($B420=""))+((MID($Y420,1,4)&lt;&gt;"Wahl")*(Deckblatt!$C$14='WK-Vorlagen'!$C$82))+(Deckblatt!$C$14&lt;&gt;'WK-Vorlagen'!$C$82),"",IF(ISERROR(MATCH(VALUE(MID(G420,1,2)),Schwierigkeitsstufen!$G$7:$G$19,0)),"Gerät falsch",LOOKUP(VALUE(MID(G420,1,2)),Schwierigkeitsstufen!$G$7:$G$19,Schwierigkeitsstufen!$H$7:$H$19)))</f>
        <v/>
      </c>
      <c r="AB420" s="250" t="str">
        <f>IF((($A420="")*($B420=""))+((MID($Y420,1,4)&lt;&gt;"Wahl")*(Deckblatt!$C$14='WK-Vorlagen'!$C$82))+(Deckblatt!$C$14&lt;&gt;'WK-Vorlagen'!$C$82),"",IF(ISERROR(MATCH(VALUE(MID(H420,1,2)),Schwierigkeitsstufen!$G$7:$G$19,0)),"Gerät falsch",LOOKUP(VALUE(MID(H420,1,2)),Schwierigkeitsstufen!$G$7:$G$19,Schwierigkeitsstufen!$H$7:$H$19)))</f>
        <v/>
      </c>
      <c r="AC420" s="250" t="str">
        <f>IF((($A420="")*($B420=""))+((MID($Y420,1,4)&lt;&gt;"Wahl")*(Deckblatt!$C$14='WK-Vorlagen'!$C$82))+(Deckblatt!$C$14&lt;&gt;'WK-Vorlagen'!$C$82),"",IF(ISERROR(MATCH(VALUE(MID(I420,1,2)),Schwierigkeitsstufen!$G$7:$G$19,0)),"Gerät falsch",LOOKUP(VALUE(MID(I420,1,2)),Schwierigkeitsstufen!$G$7:$G$19,Schwierigkeitsstufen!$H$7:$H$19)))</f>
        <v/>
      </c>
      <c r="AD420" s="251" t="str">
        <f>IF((($A420="")*($B420=""))+((MID($Y420,1,4)&lt;&gt;"Wahl")*(Deckblatt!$C$14='WK-Vorlagen'!$C$82))+(Deckblatt!$C$14&lt;&gt;'WK-Vorlagen'!$C$82),"",IF(ISERROR(MATCH(VALUE(MID(J420,1,2)),Schwierigkeitsstufen!$G$7:$G$19,0)),"Gerät falsch",LOOKUP(VALUE(MID(J420,1,2)),Schwierigkeitsstufen!$G$7:$G$19,Schwierigkeitsstufen!$H$7:$H$19)))</f>
        <v/>
      </c>
      <c r="AE420" s="211"/>
      <c r="AG420" s="221" t="str">
        <f t="shared" si="54"/>
        <v/>
      </c>
      <c r="AH420" s="222" t="str">
        <f t="shared" si="56"/>
        <v/>
      </c>
      <c r="AI420" s="220">
        <f t="shared" si="61"/>
        <v>4</v>
      </c>
      <c r="AJ420" s="222">
        <f t="shared" si="57"/>
        <v>0</v>
      </c>
      <c r="AK420" s="299" t="str">
        <f>IF(ISERROR(LOOKUP(E420,WKNrListe,Übersicht!$R$7:$R$46)),"-",LOOKUP(E420,WKNrListe,Übersicht!$R$7:$R$46))</f>
        <v>-</v>
      </c>
      <c r="AL420" s="299" t="str">
        <f t="shared" si="60"/>
        <v>-</v>
      </c>
      <c r="AM420" s="303"/>
      <c r="AN420" s="174" t="str">
        <f t="shared" si="53"/>
        <v>Leer</v>
      </c>
    </row>
    <row r="421" spans="1:40" s="174" customFormat="1" ht="15" customHeight="1">
      <c r="A421" s="63"/>
      <c r="B421" s="63"/>
      <c r="C421" s="84"/>
      <c r="D421" s="85"/>
      <c r="E421" s="62"/>
      <c r="F421" s="62"/>
      <c r="G421" s="62"/>
      <c r="H421" s="62"/>
      <c r="I421" s="62"/>
      <c r="J421" s="62"/>
      <c r="K421" s="62"/>
      <c r="L421" s="62"/>
      <c r="M421" s="62"/>
      <c r="N421" s="62"/>
      <c r="O421" s="62"/>
      <c r="P421" s="62"/>
      <c r="Q421" s="62"/>
      <c r="R421" s="62"/>
      <c r="S421" s="258"/>
      <c r="T421" s="248" t="str">
        <f t="shared" si="58"/>
        <v/>
      </c>
      <c r="U421" s="249" t="str">
        <f t="shared" si="59"/>
        <v/>
      </c>
      <c r="V421" s="294" t="str">
        <f t="shared" si="55"/>
        <v/>
      </c>
      <c r="W421" s="294" t="str">
        <f>IF(((E421="")+(F421="")),"",IF(VLOOKUP(F421,Mannschaften!$A$1:$B$54,2,FALSE)&lt;&gt;E421,"Reiter Mannschaften füllen",""))</f>
        <v/>
      </c>
      <c r="X421" s="248" t="str">
        <f>IF(ISBLANK(C421),"",IF((U421&gt;(LOOKUP(E421,WKNrListe,Übersicht!$O$7:$O$46)))+(U421&lt;(LOOKUP(E421,WKNrListe,Übersicht!$P$7:$P$46))),"JG falsch",""))</f>
        <v/>
      </c>
      <c r="Y421" s="255" t="str">
        <f>IF((A421="")*(B421=""),"",IF(ISERROR(MATCH(E421,WKNrListe,0)),"WK falsch",LOOKUP(E421,WKNrListe,Übersicht!$B$7:$B$46)))</f>
        <v/>
      </c>
      <c r="Z421" s="269" t="str">
        <f>IF(((AJ421=0)*(AH421&lt;&gt;"")*(AK421="-"))+((AJ421&lt;&gt;0)*(AH421&lt;&gt;"")*(AK421="-")),IF(AG421="X",Übersicht!$C$70,Übersicht!$C$69),"-")</f>
        <v>-</v>
      </c>
      <c r="AA421" s="252" t="str">
        <f>IF((($A421="")*($B421=""))+((MID($Y421,1,4)&lt;&gt;"Wahl")*(Deckblatt!$C$14='WK-Vorlagen'!$C$82))+(Deckblatt!$C$14&lt;&gt;'WK-Vorlagen'!$C$82),"",IF(ISERROR(MATCH(VALUE(MID(G421,1,2)),Schwierigkeitsstufen!$G$7:$G$19,0)),"Gerät falsch",LOOKUP(VALUE(MID(G421,1,2)),Schwierigkeitsstufen!$G$7:$G$19,Schwierigkeitsstufen!$H$7:$H$19)))</f>
        <v/>
      </c>
      <c r="AB421" s="250" t="str">
        <f>IF((($A421="")*($B421=""))+((MID($Y421,1,4)&lt;&gt;"Wahl")*(Deckblatt!$C$14='WK-Vorlagen'!$C$82))+(Deckblatt!$C$14&lt;&gt;'WK-Vorlagen'!$C$82),"",IF(ISERROR(MATCH(VALUE(MID(H421,1,2)),Schwierigkeitsstufen!$G$7:$G$19,0)),"Gerät falsch",LOOKUP(VALUE(MID(H421,1,2)),Schwierigkeitsstufen!$G$7:$G$19,Schwierigkeitsstufen!$H$7:$H$19)))</f>
        <v/>
      </c>
      <c r="AC421" s="250" t="str">
        <f>IF((($A421="")*($B421=""))+((MID($Y421,1,4)&lt;&gt;"Wahl")*(Deckblatt!$C$14='WK-Vorlagen'!$C$82))+(Deckblatt!$C$14&lt;&gt;'WK-Vorlagen'!$C$82),"",IF(ISERROR(MATCH(VALUE(MID(I421,1,2)),Schwierigkeitsstufen!$G$7:$G$19,0)),"Gerät falsch",LOOKUP(VALUE(MID(I421,1,2)),Schwierigkeitsstufen!$G$7:$G$19,Schwierigkeitsstufen!$H$7:$H$19)))</f>
        <v/>
      </c>
      <c r="AD421" s="251" t="str">
        <f>IF((($A421="")*($B421=""))+((MID($Y421,1,4)&lt;&gt;"Wahl")*(Deckblatt!$C$14='WK-Vorlagen'!$C$82))+(Deckblatt!$C$14&lt;&gt;'WK-Vorlagen'!$C$82),"",IF(ISERROR(MATCH(VALUE(MID(J421,1,2)),Schwierigkeitsstufen!$G$7:$G$19,0)),"Gerät falsch",LOOKUP(VALUE(MID(J421,1,2)),Schwierigkeitsstufen!$G$7:$G$19,Schwierigkeitsstufen!$H$7:$H$19)))</f>
        <v/>
      </c>
      <c r="AE421" s="211"/>
      <c r="AG421" s="221" t="str">
        <f t="shared" si="54"/>
        <v/>
      </c>
      <c r="AH421" s="222" t="str">
        <f t="shared" si="56"/>
        <v/>
      </c>
      <c r="AI421" s="220">
        <f t="shared" si="61"/>
        <v>4</v>
      </c>
      <c r="AJ421" s="222">
        <f t="shared" si="57"/>
        <v>0</v>
      </c>
      <c r="AK421" s="299" t="str">
        <f>IF(ISERROR(LOOKUP(E421,WKNrListe,Übersicht!$R$7:$R$46)),"-",LOOKUP(E421,WKNrListe,Übersicht!$R$7:$R$46))</f>
        <v>-</v>
      </c>
      <c r="AL421" s="299" t="str">
        <f t="shared" si="60"/>
        <v>-</v>
      </c>
      <c r="AM421" s="303"/>
      <c r="AN421" s="174" t="str">
        <f t="shared" si="53"/>
        <v>Leer</v>
      </c>
    </row>
    <row r="422" spans="1:40" s="174" customFormat="1" ht="15" customHeight="1">
      <c r="A422" s="63"/>
      <c r="B422" s="63"/>
      <c r="C422" s="84"/>
      <c r="D422" s="85"/>
      <c r="E422" s="62"/>
      <c r="F422" s="62"/>
      <c r="G422" s="62"/>
      <c r="H422" s="62"/>
      <c r="I422" s="62"/>
      <c r="J422" s="62"/>
      <c r="K422" s="62"/>
      <c r="L422" s="62"/>
      <c r="M422" s="62"/>
      <c r="N422" s="62"/>
      <c r="O422" s="62"/>
      <c r="P422" s="62"/>
      <c r="Q422" s="62"/>
      <c r="R422" s="62"/>
      <c r="S422" s="258"/>
      <c r="T422" s="248" t="str">
        <f t="shared" si="58"/>
        <v/>
      </c>
      <c r="U422" s="249" t="str">
        <f t="shared" si="59"/>
        <v/>
      </c>
      <c r="V422" s="294" t="str">
        <f t="shared" si="55"/>
        <v/>
      </c>
      <c r="W422" s="294" t="str">
        <f>IF(((E422="")+(F422="")),"",IF(VLOOKUP(F422,Mannschaften!$A$1:$B$54,2,FALSE)&lt;&gt;E422,"Reiter Mannschaften füllen",""))</f>
        <v/>
      </c>
      <c r="X422" s="248" t="str">
        <f>IF(ISBLANK(C422),"",IF((U422&gt;(LOOKUP(E422,WKNrListe,Übersicht!$O$7:$O$46)))+(U422&lt;(LOOKUP(E422,WKNrListe,Übersicht!$P$7:$P$46))),"JG falsch",""))</f>
        <v/>
      </c>
      <c r="Y422" s="255" t="str">
        <f>IF((A422="")*(B422=""),"",IF(ISERROR(MATCH(E422,WKNrListe,0)),"WK falsch",LOOKUP(E422,WKNrListe,Übersicht!$B$7:$B$46)))</f>
        <v/>
      </c>
      <c r="Z422" s="269" t="str">
        <f>IF(((AJ422=0)*(AH422&lt;&gt;"")*(AK422="-"))+((AJ422&lt;&gt;0)*(AH422&lt;&gt;"")*(AK422="-")),IF(AG422="X",Übersicht!$C$70,Übersicht!$C$69),"-")</f>
        <v>-</v>
      </c>
      <c r="AA422" s="252" t="str">
        <f>IF((($A422="")*($B422=""))+((MID($Y422,1,4)&lt;&gt;"Wahl")*(Deckblatt!$C$14='WK-Vorlagen'!$C$82))+(Deckblatt!$C$14&lt;&gt;'WK-Vorlagen'!$C$82),"",IF(ISERROR(MATCH(VALUE(MID(G422,1,2)),Schwierigkeitsstufen!$G$7:$G$19,0)),"Gerät falsch",LOOKUP(VALUE(MID(G422,1,2)),Schwierigkeitsstufen!$G$7:$G$19,Schwierigkeitsstufen!$H$7:$H$19)))</f>
        <v/>
      </c>
      <c r="AB422" s="250" t="str">
        <f>IF((($A422="")*($B422=""))+((MID($Y422,1,4)&lt;&gt;"Wahl")*(Deckblatt!$C$14='WK-Vorlagen'!$C$82))+(Deckblatt!$C$14&lt;&gt;'WK-Vorlagen'!$C$82),"",IF(ISERROR(MATCH(VALUE(MID(H422,1,2)),Schwierigkeitsstufen!$G$7:$G$19,0)),"Gerät falsch",LOOKUP(VALUE(MID(H422,1,2)),Schwierigkeitsstufen!$G$7:$G$19,Schwierigkeitsstufen!$H$7:$H$19)))</f>
        <v/>
      </c>
      <c r="AC422" s="250" t="str">
        <f>IF((($A422="")*($B422=""))+((MID($Y422,1,4)&lt;&gt;"Wahl")*(Deckblatt!$C$14='WK-Vorlagen'!$C$82))+(Deckblatt!$C$14&lt;&gt;'WK-Vorlagen'!$C$82),"",IF(ISERROR(MATCH(VALUE(MID(I422,1,2)),Schwierigkeitsstufen!$G$7:$G$19,0)),"Gerät falsch",LOOKUP(VALUE(MID(I422,1,2)),Schwierigkeitsstufen!$G$7:$G$19,Schwierigkeitsstufen!$H$7:$H$19)))</f>
        <v/>
      </c>
      <c r="AD422" s="251" t="str">
        <f>IF((($A422="")*($B422=""))+((MID($Y422,1,4)&lt;&gt;"Wahl")*(Deckblatt!$C$14='WK-Vorlagen'!$C$82))+(Deckblatt!$C$14&lt;&gt;'WK-Vorlagen'!$C$82),"",IF(ISERROR(MATCH(VALUE(MID(J422,1,2)),Schwierigkeitsstufen!$G$7:$G$19,0)),"Gerät falsch",LOOKUP(VALUE(MID(J422,1,2)),Schwierigkeitsstufen!$G$7:$G$19,Schwierigkeitsstufen!$H$7:$H$19)))</f>
        <v/>
      </c>
      <c r="AE422" s="211"/>
      <c r="AG422" s="221" t="str">
        <f t="shared" si="54"/>
        <v/>
      </c>
      <c r="AH422" s="222" t="str">
        <f t="shared" si="56"/>
        <v/>
      </c>
      <c r="AI422" s="220">
        <f t="shared" si="61"/>
        <v>4</v>
      </c>
      <c r="AJ422" s="222">
        <f t="shared" si="57"/>
        <v>0</v>
      </c>
      <c r="AK422" s="299" t="str">
        <f>IF(ISERROR(LOOKUP(E422,WKNrListe,Übersicht!$R$7:$R$46)),"-",LOOKUP(E422,WKNrListe,Übersicht!$R$7:$R$46))</f>
        <v>-</v>
      </c>
      <c r="AL422" s="299" t="str">
        <f t="shared" si="60"/>
        <v>-</v>
      </c>
      <c r="AM422" s="303"/>
      <c r="AN422" s="174" t="str">
        <f t="shared" si="53"/>
        <v>Leer</v>
      </c>
    </row>
    <row r="423" spans="1:40" s="174" customFormat="1" ht="15" customHeight="1">
      <c r="A423" s="63"/>
      <c r="B423" s="63"/>
      <c r="C423" s="84"/>
      <c r="D423" s="85"/>
      <c r="E423" s="62"/>
      <c r="F423" s="62"/>
      <c r="G423" s="62"/>
      <c r="H423" s="62"/>
      <c r="I423" s="62"/>
      <c r="J423" s="62"/>
      <c r="K423" s="62"/>
      <c r="L423" s="62"/>
      <c r="M423" s="62"/>
      <c r="N423" s="62"/>
      <c r="O423" s="62"/>
      <c r="P423" s="62"/>
      <c r="Q423" s="62"/>
      <c r="R423" s="62"/>
      <c r="S423" s="258"/>
      <c r="T423" s="248" t="str">
        <f t="shared" si="58"/>
        <v/>
      </c>
      <c r="U423" s="249" t="str">
        <f t="shared" si="59"/>
        <v/>
      </c>
      <c r="V423" s="294" t="str">
        <f t="shared" si="55"/>
        <v/>
      </c>
      <c r="W423" s="294" t="str">
        <f>IF(((E423="")+(F423="")),"",IF(VLOOKUP(F423,Mannschaften!$A$1:$B$54,2,FALSE)&lt;&gt;E423,"Reiter Mannschaften füllen",""))</f>
        <v/>
      </c>
      <c r="X423" s="248" t="str">
        <f>IF(ISBLANK(C423),"",IF((U423&gt;(LOOKUP(E423,WKNrListe,Übersicht!$O$7:$O$46)))+(U423&lt;(LOOKUP(E423,WKNrListe,Übersicht!$P$7:$P$46))),"JG falsch",""))</f>
        <v/>
      </c>
      <c r="Y423" s="255" t="str">
        <f>IF((A423="")*(B423=""),"",IF(ISERROR(MATCH(E423,WKNrListe,0)),"WK falsch",LOOKUP(E423,WKNrListe,Übersicht!$B$7:$B$46)))</f>
        <v/>
      </c>
      <c r="Z423" s="269" t="str">
        <f>IF(((AJ423=0)*(AH423&lt;&gt;"")*(AK423="-"))+((AJ423&lt;&gt;0)*(AH423&lt;&gt;"")*(AK423="-")),IF(AG423="X",Übersicht!$C$70,Übersicht!$C$69),"-")</f>
        <v>-</v>
      </c>
      <c r="AA423" s="252" t="str">
        <f>IF((($A423="")*($B423=""))+((MID($Y423,1,4)&lt;&gt;"Wahl")*(Deckblatt!$C$14='WK-Vorlagen'!$C$82))+(Deckblatt!$C$14&lt;&gt;'WK-Vorlagen'!$C$82),"",IF(ISERROR(MATCH(VALUE(MID(G423,1,2)),Schwierigkeitsstufen!$G$7:$G$19,0)),"Gerät falsch",LOOKUP(VALUE(MID(G423,1,2)),Schwierigkeitsstufen!$G$7:$G$19,Schwierigkeitsstufen!$H$7:$H$19)))</f>
        <v/>
      </c>
      <c r="AB423" s="250" t="str">
        <f>IF((($A423="")*($B423=""))+((MID($Y423,1,4)&lt;&gt;"Wahl")*(Deckblatt!$C$14='WK-Vorlagen'!$C$82))+(Deckblatt!$C$14&lt;&gt;'WK-Vorlagen'!$C$82),"",IF(ISERROR(MATCH(VALUE(MID(H423,1,2)),Schwierigkeitsstufen!$G$7:$G$19,0)),"Gerät falsch",LOOKUP(VALUE(MID(H423,1,2)),Schwierigkeitsstufen!$G$7:$G$19,Schwierigkeitsstufen!$H$7:$H$19)))</f>
        <v/>
      </c>
      <c r="AC423" s="250" t="str">
        <f>IF((($A423="")*($B423=""))+((MID($Y423,1,4)&lt;&gt;"Wahl")*(Deckblatt!$C$14='WK-Vorlagen'!$C$82))+(Deckblatt!$C$14&lt;&gt;'WK-Vorlagen'!$C$82),"",IF(ISERROR(MATCH(VALUE(MID(I423,1,2)),Schwierigkeitsstufen!$G$7:$G$19,0)),"Gerät falsch",LOOKUP(VALUE(MID(I423,1,2)),Schwierigkeitsstufen!$G$7:$G$19,Schwierigkeitsstufen!$H$7:$H$19)))</f>
        <v/>
      </c>
      <c r="AD423" s="251" t="str">
        <f>IF((($A423="")*($B423=""))+((MID($Y423,1,4)&lt;&gt;"Wahl")*(Deckblatt!$C$14='WK-Vorlagen'!$C$82))+(Deckblatt!$C$14&lt;&gt;'WK-Vorlagen'!$C$82),"",IF(ISERROR(MATCH(VALUE(MID(J423,1,2)),Schwierigkeitsstufen!$G$7:$G$19,0)),"Gerät falsch",LOOKUP(VALUE(MID(J423,1,2)),Schwierigkeitsstufen!$G$7:$G$19,Schwierigkeitsstufen!$H$7:$H$19)))</f>
        <v/>
      </c>
      <c r="AE423" s="211"/>
      <c r="AG423" s="221" t="str">
        <f t="shared" si="54"/>
        <v/>
      </c>
      <c r="AH423" s="222" t="str">
        <f t="shared" si="56"/>
        <v/>
      </c>
      <c r="AI423" s="220">
        <f t="shared" si="61"/>
        <v>4</v>
      </c>
      <c r="AJ423" s="222">
        <f t="shared" si="57"/>
        <v>0</v>
      </c>
      <c r="AK423" s="299" t="str">
        <f>IF(ISERROR(LOOKUP(E423,WKNrListe,Übersicht!$R$7:$R$46)),"-",LOOKUP(E423,WKNrListe,Übersicht!$R$7:$R$46))</f>
        <v>-</v>
      </c>
      <c r="AL423" s="299" t="str">
        <f t="shared" si="60"/>
        <v>-</v>
      </c>
      <c r="AM423" s="303"/>
      <c r="AN423" s="174" t="str">
        <f t="shared" si="53"/>
        <v>Leer</v>
      </c>
    </row>
    <row r="424" spans="1:40" s="174" customFormat="1" ht="15" customHeight="1">
      <c r="A424" s="63"/>
      <c r="B424" s="63"/>
      <c r="C424" s="84"/>
      <c r="D424" s="85"/>
      <c r="E424" s="62"/>
      <c r="F424" s="62"/>
      <c r="G424" s="62"/>
      <c r="H424" s="62"/>
      <c r="I424" s="62"/>
      <c r="J424" s="62"/>
      <c r="K424" s="62"/>
      <c r="L424" s="62"/>
      <c r="M424" s="62"/>
      <c r="N424" s="62"/>
      <c r="O424" s="62"/>
      <c r="P424" s="62"/>
      <c r="Q424" s="62"/>
      <c r="R424" s="62"/>
      <c r="S424" s="258"/>
      <c r="T424" s="248" t="str">
        <f t="shared" si="58"/>
        <v/>
      </c>
      <c r="U424" s="249" t="str">
        <f t="shared" si="59"/>
        <v/>
      </c>
      <c r="V424" s="294" t="str">
        <f t="shared" si="55"/>
        <v/>
      </c>
      <c r="W424" s="294" t="str">
        <f>IF(((E424="")+(F424="")),"",IF(VLOOKUP(F424,Mannschaften!$A$1:$B$54,2,FALSE)&lt;&gt;E424,"Reiter Mannschaften füllen",""))</f>
        <v/>
      </c>
      <c r="X424" s="248" t="str">
        <f>IF(ISBLANK(C424),"",IF((U424&gt;(LOOKUP(E424,WKNrListe,Übersicht!$O$7:$O$46)))+(U424&lt;(LOOKUP(E424,WKNrListe,Übersicht!$P$7:$P$46))),"JG falsch",""))</f>
        <v/>
      </c>
      <c r="Y424" s="255" t="str">
        <f>IF((A424="")*(B424=""),"",IF(ISERROR(MATCH(E424,WKNrListe,0)),"WK falsch",LOOKUP(E424,WKNrListe,Übersicht!$B$7:$B$46)))</f>
        <v/>
      </c>
      <c r="Z424" s="269" t="str">
        <f>IF(((AJ424=0)*(AH424&lt;&gt;"")*(AK424="-"))+((AJ424&lt;&gt;0)*(AH424&lt;&gt;"")*(AK424="-")),IF(AG424="X",Übersicht!$C$70,Übersicht!$C$69),"-")</f>
        <v>-</v>
      </c>
      <c r="AA424" s="252" t="str">
        <f>IF((($A424="")*($B424=""))+((MID($Y424,1,4)&lt;&gt;"Wahl")*(Deckblatt!$C$14='WK-Vorlagen'!$C$82))+(Deckblatt!$C$14&lt;&gt;'WK-Vorlagen'!$C$82),"",IF(ISERROR(MATCH(VALUE(MID(G424,1,2)),Schwierigkeitsstufen!$G$7:$G$19,0)),"Gerät falsch",LOOKUP(VALUE(MID(G424,1,2)),Schwierigkeitsstufen!$G$7:$G$19,Schwierigkeitsstufen!$H$7:$H$19)))</f>
        <v/>
      </c>
      <c r="AB424" s="250" t="str">
        <f>IF((($A424="")*($B424=""))+((MID($Y424,1,4)&lt;&gt;"Wahl")*(Deckblatt!$C$14='WK-Vorlagen'!$C$82))+(Deckblatt!$C$14&lt;&gt;'WK-Vorlagen'!$C$82),"",IF(ISERROR(MATCH(VALUE(MID(H424,1,2)),Schwierigkeitsstufen!$G$7:$G$19,0)),"Gerät falsch",LOOKUP(VALUE(MID(H424,1,2)),Schwierigkeitsstufen!$G$7:$G$19,Schwierigkeitsstufen!$H$7:$H$19)))</f>
        <v/>
      </c>
      <c r="AC424" s="250" t="str">
        <f>IF((($A424="")*($B424=""))+((MID($Y424,1,4)&lt;&gt;"Wahl")*(Deckblatt!$C$14='WK-Vorlagen'!$C$82))+(Deckblatt!$C$14&lt;&gt;'WK-Vorlagen'!$C$82),"",IF(ISERROR(MATCH(VALUE(MID(I424,1,2)),Schwierigkeitsstufen!$G$7:$G$19,0)),"Gerät falsch",LOOKUP(VALUE(MID(I424,1,2)),Schwierigkeitsstufen!$G$7:$G$19,Schwierigkeitsstufen!$H$7:$H$19)))</f>
        <v/>
      </c>
      <c r="AD424" s="251" t="str">
        <f>IF((($A424="")*($B424=""))+((MID($Y424,1,4)&lt;&gt;"Wahl")*(Deckblatt!$C$14='WK-Vorlagen'!$C$82))+(Deckblatt!$C$14&lt;&gt;'WK-Vorlagen'!$C$82),"",IF(ISERROR(MATCH(VALUE(MID(J424,1,2)),Schwierigkeitsstufen!$G$7:$G$19,0)),"Gerät falsch",LOOKUP(VALUE(MID(J424,1,2)),Schwierigkeitsstufen!$G$7:$G$19,Schwierigkeitsstufen!$H$7:$H$19)))</f>
        <v/>
      </c>
      <c r="AE424" s="211"/>
      <c r="AG424" s="221" t="str">
        <f t="shared" si="54"/>
        <v/>
      </c>
      <c r="AH424" s="222" t="str">
        <f t="shared" si="56"/>
        <v/>
      </c>
      <c r="AI424" s="220">
        <f t="shared" si="61"/>
        <v>4</v>
      </c>
      <c r="AJ424" s="222">
        <f t="shared" si="57"/>
        <v>0</v>
      </c>
      <c r="AK424" s="299" t="str">
        <f>IF(ISERROR(LOOKUP(E424,WKNrListe,Übersicht!$R$7:$R$46)),"-",LOOKUP(E424,WKNrListe,Übersicht!$R$7:$R$46))</f>
        <v>-</v>
      </c>
      <c r="AL424" s="299" t="str">
        <f t="shared" si="60"/>
        <v>-</v>
      </c>
      <c r="AM424" s="303"/>
      <c r="AN424" s="174" t="str">
        <f t="shared" si="53"/>
        <v>Leer</v>
      </c>
    </row>
    <row r="425" spans="1:40" s="174" customFormat="1" ht="15" customHeight="1">
      <c r="A425" s="63"/>
      <c r="B425" s="63"/>
      <c r="C425" s="84"/>
      <c r="D425" s="85"/>
      <c r="E425" s="62"/>
      <c r="F425" s="62"/>
      <c r="G425" s="62"/>
      <c r="H425" s="62"/>
      <c r="I425" s="62"/>
      <c r="J425" s="62"/>
      <c r="K425" s="62"/>
      <c r="L425" s="62"/>
      <c r="M425" s="62"/>
      <c r="N425" s="62"/>
      <c r="O425" s="62"/>
      <c r="P425" s="62"/>
      <c r="Q425" s="62"/>
      <c r="R425" s="62"/>
      <c r="S425" s="258"/>
      <c r="T425" s="248" t="str">
        <f t="shared" si="58"/>
        <v/>
      </c>
      <c r="U425" s="249" t="str">
        <f t="shared" si="59"/>
        <v/>
      </c>
      <c r="V425" s="294" t="str">
        <f t="shared" si="55"/>
        <v/>
      </c>
      <c r="W425" s="294" t="str">
        <f>IF(((E425="")+(F425="")),"",IF(VLOOKUP(F425,Mannschaften!$A$1:$B$54,2,FALSE)&lt;&gt;E425,"Reiter Mannschaften füllen",""))</f>
        <v/>
      </c>
      <c r="X425" s="248" t="str">
        <f>IF(ISBLANK(C425),"",IF((U425&gt;(LOOKUP(E425,WKNrListe,Übersicht!$O$7:$O$46)))+(U425&lt;(LOOKUP(E425,WKNrListe,Übersicht!$P$7:$P$46))),"JG falsch",""))</f>
        <v/>
      </c>
      <c r="Y425" s="255" t="str">
        <f>IF((A425="")*(B425=""),"",IF(ISERROR(MATCH(E425,WKNrListe,0)),"WK falsch",LOOKUP(E425,WKNrListe,Übersicht!$B$7:$B$46)))</f>
        <v/>
      </c>
      <c r="Z425" s="269" t="str">
        <f>IF(((AJ425=0)*(AH425&lt;&gt;"")*(AK425="-"))+((AJ425&lt;&gt;0)*(AH425&lt;&gt;"")*(AK425="-")),IF(AG425="X",Übersicht!$C$70,Übersicht!$C$69),"-")</f>
        <v>-</v>
      </c>
      <c r="AA425" s="252" t="str">
        <f>IF((($A425="")*($B425=""))+((MID($Y425,1,4)&lt;&gt;"Wahl")*(Deckblatt!$C$14='WK-Vorlagen'!$C$82))+(Deckblatt!$C$14&lt;&gt;'WK-Vorlagen'!$C$82),"",IF(ISERROR(MATCH(VALUE(MID(G425,1,2)),Schwierigkeitsstufen!$G$7:$G$19,0)),"Gerät falsch",LOOKUP(VALUE(MID(G425,1,2)),Schwierigkeitsstufen!$G$7:$G$19,Schwierigkeitsstufen!$H$7:$H$19)))</f>
        <v/>
      </c>
      <c r="AB425" s="250" t="str">
        <f>IF((($A425="")*($B425=""))+((MID($Y425,1,4)&lt;&gt;"Wahl")*(Deckblatt!$C$14='WK-Vorlagen'!$C$82))+(Deckblatt!$C$14&lt;&gt;'WK-Vorlagen'!$C$82),"",IF(ISERROR(MATCH(VALUE(MID(H425,1,2)),Schwierigkeitsstufen!$G$7:$G$19,0)),"Gerät falsch",LOOKUP(VALUE(MID(H425,1,2)),Schwierigkeitsstufen!$G$7:$G$19,Schwierigkeitsstufen!$H$7:$H$19)))</f>
        <v/>
      </c>
      <c r="AC425" s="250" t="str">
        <f>IF((($A425="")*($B425=""))+((MID($Y425,1,4)&lt;&gt;"Wahl")*(Deckblatt!$C$14='WK-Vorlagen'!$C$82))+(Deckblatt!$C$14&lt;&gt;'WK-Vorlagen'!$C$82),"",IF(ISERROR(MATCH(VALUE(MID(I425,1,2)),Schwierigkeitsstufen!$G$7:$G$19,0)),"Gerät falsch",LOOKUP(VALUE(MID(I425,1,2)),Schwierigkeitsstufen!$G$7:$G$19,Schwierigkeitsstufen!$H$7:$H$19)))</f>
        <v/>
      </c>
      <c r="AD425" s="251" t="str">
        <f>IF((($A425="")*($B425=""))+((MID($Y425,1,4)&lt;&gt;"Wahl")*(Deckblatt!$C$14='WK-Vorlagen'!$C$82))+(Deckblatt!$C$14&lt;&gt;'WK-Vorlagen'!$C$82),"",IF(ISERROR(MATCH(VALUE(MID(J425,1,2)),Schwierigkeitsstufen!$G$7:$G$19,0)),"Gerät falsch",LOOKUP(VALUE(MID(J425,1,2)),Schwierigkeitsstufen!$G$7:$G$19,Schwierigkeitsstufen!$H$7:$H$19)))</f>
        <v/>
      </c>
      <c r="AE425" s="211"/>
      <c r="AG425" s="221" t="str">
        <f t="shared" si="54"/>
        <v/>
      </c>
      <c r="AH425" s="222" t="str">
        <f t="shared" si="56"/>
        <v/>
      </c>
      <c r="AI425" s="220">
        <f t="shared" si="61"/>
        <v>4</v>
      </c>
      <c r="AJ425" s="222">
        <f t="shared" si="57"/>
        <v>0</v>
      </c>
      <c r="AK425" s="299" t="str">
        <f>IF(ISERROR(LOOKUP(E425,WKNrListe,Übersicht!$R$7:$R$46)),"-",LOOKUP(E425,WKNrListe,Übersicht!$R$7:$R$46))</f>
        <v>-</v>
      </c>
      <c r="AL425" s="299" t="str">
        <f t="shared" si="60"/>
        <v>-</v>
      </c>
      <c r="AM425" s="303"/>
      <c r="AN425" s="174" t="str">
        <f t="shared" si="53"/>
        <v>Leer</v>
      </c>
    </row>
    <row r="426" spans="1:40" s="174" customFormat="1" ht="15" customHeight="1">
      <c r="A426" s="63"/>
      <c r="B426" s="63"/>
      <c r="C426" s="84"/>
      <c r="D426" s="85"/>
      <c r="E426" s="62"/>
      <c r="F426" s="62"/>
      <c r="G426" s="62"/>
      <c r="H426" s="62"/>
      <c r="I426" s="62"/>
      <c r="J426" s="62"/>
      <c r="K426" s="62"/>
      <c r="L426" s="62"/>
      <c r="M426" s="62"/>
      <c r="N426" s="62"/>
      <c r="O426" s="62"/>
      <c r="P426" s="62"/>
      <c r="Q426" s="62"/>
      <c r="R426" s="62"/>
      <c r="S426" s="258"/>
      <c r="T426" s="248" t="str">
        <f t="shared" si="58"/>
        <v/>
      </c>
      <c r="U426" s="249" t="str">
        <f t="shared" si="59"/>
        <v/>
      </c>
      <c r="V426" s="294" t="str">
        <f t="shared" si="55"/>
        <v/>
      </c>
      <c r="W426" s="294" t="str">
        <f>IF(((E426="")+(F426="")),"",IF(VLOOKUP(F426,Mannschaften!$A$1:$B$54,2,FALSE)&lt;&gt;E426,"Reiter Mannschaften füllen",""))</f>
        <v/>
      </c>
      <c r="X426" s="248" t="str">
        <f>IF(ISBLANK(C426),"",IF((U426&gt;(LOOKUP(E426,WKNrListe,Übersicht!$O$7:$O$46)))+(U426&lt;(LOOKUP(E426,WKNrListe,Übersicht!$P$7:$P$46))),"JG falsch",""))</f>
        <v/>
      </c>
      <c r="Y426" s="255" t="str">
        <f>IF((A426="")*(B426=""),"",IF(ISERROR(MATCH(E426,WKNrListe,0)),"WK falsch",LOOKUP(E426,WKNrListe,Übersicht!$B$7:$B$46)))</f>
        <v/>
      </c>
      <c r="Z426" s="269" t="str">
        <f>IF(((AJ426=0)*(AH426&lt;&gt;"")*(AK426="-"))+((AJ426&lt;&gt;0)*(AH426&lt;&gt;"")*(AK426="-")),IF(AG426="X",Übersicht!$C$70,Übersicht!$C$69),"-")</f>
        <v>-</v>
      </c>
      <c r="AA426" s="252" t="str">
        <f>IF((($A426="")*($B426=""))+((MID($Y426,1,4)&lt;&gt;"Wahl")*(Deckblatt!$C$14='WK-Vorlagen'!$C$82))+(Deckblatt!$C$14&lt;&gt;'WK-Vorlagen'!$C$82),"",IF(ISERROR(MATCH(VALUE(MID(G426,1,2)),Schwierigkeitsstufen!$G$7:$G$19,0)),"Gerät falsch",LOOKUP(VALUE(MID(G426,1,2)),Schwierigkeitsstufen!$G$7:$G$19,Schwierigkeitsstufen!$H$7:$H$19)))</f>
        <v/>
      </c>
      <c r="AB426" s="250" t="str">
        <f>IF((($A426="")*($B426=""))+((MID($Y426,1,4)&lt;&gt;"Wahl")*(Deckblatt!$C$14='WK-Vorlagen'!$C$82))+(Deckblatt!$C$14&lt;&gt;'WK-Vorlagen'!$C$82),"",IF(ISERROR(MATCH(VALUE(MID(H426,1,2)),Schwierigkeitsstufen!$G$7:$G$19,0)),"Gerät falsch",LOOKUP(VALUE(MID(H426,1,2)),Schwierigkeitsstufen!$G$7:$G$19,Schwierigkeitsstufen!$H$7:$H$19)))</f>
        <v/>
      </c>
      <c r="AC426" s="250" t="str">
        <f>IF((($A426="")*($B426=""))+((MID($Y426,1,4)&lt;&gt;"Wahl")*(Deckblatt!$C$14='WK-Vorlagen'!$C$82))+(Deckblatt!$C$14&lt;&gt;'WK-Vorlagen'!$C$82),"",IF(ISERROR(MATCH(VALUE(MID(I426,1,2)),Schwierigkeitsstufen!$G$7:$G$19,0)),"Gerät falsch",LOOKUP(VALUE(MID(I426,1,2)),Schwierigkeitsstufen!$G$7:$G$19,Schwierigkeitsstufen!$H$7:$H$19)))</f>
        <v/>
      </c>
      <c r="AD426" s="251" t="str">
        <f>IF((($A426="")*($B426=""))+((MID($Y426,1,4)&lt;&gt;"Wahl")*(Deckblatt!$C$14='WK-Vorlagen'!$C$82))+(Deckblatt!$C$14&lt;&gt;'WK-Vorlagen'!$C$82),"",IF(ISERROR(MATCH(VALUE(MID(J426,1,2)),Schwierigkeitsstufen!$G$7:$G$19,0)),"Gerät falsch",LOOKUP(VALUE(MID(J426,1,2)),Schwierigkeitsstufen!$G$7:$G$19,Schwierigkeitsstufen!$H$7:$H$19)))</f>
        <v/>
      </c>
      <c r="AE426" s="211"/>
      <c r="AG426" s="221" t="str">
        <f t="shared" si="54"/>
        <v/>
      </c>
      <c r="AH426" s="222" t="str">
        <f t="shared" si="56"/>
        <v/>
      </c>
      <c r="AI426" s="220">
        <f t="shared" si="61"/>
        <v>4</v>
      </c>
      <c r="AJ426" s="222">
        <f t="shared" si="57"/>
        <v>0</v>
      </c>
      <c r="AK426" s="299" t="str">
        <f>IF(ISERROR(LOOKUP(E426,WKNrListe,Übersicht!$R$7:$R$46)),"-",LOOKUP(E426,WKNrListe,Übersicht!$R$7:$R$46))</f>
        <v>-</v>
      </c>
      <c r="AL426" s="299" t="str">
        <f t="shared" si="60"/>
        <v>-</v>
      </c>
      <c r="AM426" s="303"/>
      <c r="AN426" s="174" t="str">
        <f t="shared" si="53"/>
        <v>Leer</v>
      </c>
    </row>
    <row r="427" spans="1:40" s="174" customFormat="1" ht="15" customHeight="1">
      <c r="A427" s="63"/>
      <c r="B427" s="63"/>
      <c r="C427" s="84"/>
      <c r="D427" s="85"/>
      <c r="E427" s="62"/>
      <c r="F427" s="62"/>
      <c r="G427" s="62"/>
      <c r="H427" s="62"/>
      <c r="I427" s="62"/>
      <c r="J427" s="62"/>
      <c r="K427" s="62"/>
      <c r="L427" s="62"/>
      <c r="M427" s="62"/>
      <c r="N427" s="62"/>
      <c r="O427" s="62"/>
      <c r="P427" s="62"/>
      <c r="Q427" s="62"/>
      <c r="R427" s="62"/>
      <c r="S427" s="258"/>
      <c r="T427" s="248" t="str">
        <f t="shared" si="58"/>
        <v/>
      </c>
      <c r="U427" s="249" t="str">
        <f t="shared" si="59"/>
        <v/>
      </c>
      <c r="V427" s="294" t="str">
        <f t="shared" si="55"/>
        <v/>
      </c>
      <c r="W427" s="294" t="str">
        <f>IF(((E427="")+(F427="")),"",IF(VLOOKUP(F427,Mannschaften!$A$1:$B$54,2,FALSE)&lt;&gt;E427,"Reiter Mannschaften füllen",""))</f>
        <v/>
      </c>
      <c r="X427" s="248" t="str">
        <f>IF(ISBLANK(C427),"",IF((U427&gt;(LOOKUP(E427,WKNrListe,Übersicht!$O$7:$O$46)))+(U427&lt;(LOOKUP(E427,WKNrListe,Übersicht!$P$7:$P$46))),"JG falsch",""))</f>
        <v/>
      </c>
      <c r="Y427" s="255" t="str">
        <f>IF((A427="")*(B427=""),"",IF(ISERROR(MATCH(E427,WKNrListe,0)),"WK falsch",LOOKUP(E427,WKNrListe,Übersicht!$B$7:$B$46)))</f>
        <v/>
      </c>
      <c r="Z427" s="269" t="str">
        <f>IF(((AJ427=0)*(AH427&lt;&gt;"")*(AK427="-"))+((AJ427&lt;&gt;0)*(AH427&lt;&gt;"")*(AK427="-")),IF(AG427="X",Übersicht!$C$70,Übersicht!$C$69),"-")</f>
        <v>-</v>
      </c>
      <c r="AA427" s="252" t="str">
        <f>IF((($A427="")*($B427=""))+((MID($Y427,1,4)&lt;&gt;"Wahl")*(Deckblatt!$C$14='WK-Vorlagen'!$C$82))+(Deckblatt!$C$14&lt;&gt;'WK-Vorlagen'!$C$82),"",IF(ISERROR(MATCH(VALUE(MID(G427,1,2)),Schwierigkeitsstufen!$G$7:$G$19,0)),"Gerät falsch",LOOKUP(VALUE(MID(G427,1,2)),Schwierigkeitsstufen!$G$7:$G$19,Schwierigkeitsstufen!$H$7:$H$19)))</f>
        <v/>
      </c>
      <c r="AB427" s="250" t="str">
        <f>IF((($A427="")*($B427=""))+((MID($Y427,1,4)&lt;&gt;"Wahl")*(Deckblatt!$C$14='WK-Vorlagen'!$C$82))+(Deckblatt!$C$14&lt;&gt;'WK-Vorlagen'!$C$82),"",IF(ISERROR(MATCH(VALUE(MID(H427,1,2)),Schwierigkeitsstufen!$G$7:$G$19,0)),"Gerät falsch",LOOKUP(VALUE(MID(H427,1,2)),Schwierigkeitsstufen!$G$7:$G$19,Schwierigkeitsstufen!$H$7:$H$19)))</f>
        <v/>
      </c>
      <c r="AC427" s="250" t="str">
        <f>IF((($A427="")*($B427=""))+((MID($Y427,1,4)&lt;&gt;"Wahl")*(Deckblatt!$C$14='WK-Vorlagen'!$C$82))+(Deckblatt!$C$14&lt;&gt;'WK-Vorlagen'!$C$82),"",IF(ISERROR(MATCH(VALUE(MID(I427,1,2)),Schwierigkeitsstufen!$G$7:$G$19,0)),"Gerät falsch",LOOKUP(VALUE(MID(I427,1,2)),Schwierigkeitsstufen!$G$7:$G$19,Schwierigkeitsstufen!$H$7:$H$19)))</f>
        <v/>
      </c>
      <c r="AD427" s="251" t="str">
        <f>IF((($A427="")*($B427=""))+((MID($Y427,1,4)&lt;&gt;"Wahl")*(Deckblatt!$C$14='WK-Vorlagen'!$C$82))+(Deckblatt!$C$14&lt;&gt;'WK-Vorlagen'!$C$82),"",IF(ISERROR(MATCH(VALUE(MID(J427,1,2)),Schwierigkeitsstufen!$G$7:$G$19,0)),"Gerät falsch",LOOKUP(VALUE(MID(J427,1,2)),Schwierigkeitsstufen!$G$7:$G$19,Schwierigkeitsstufen!$H$7:$H$19)))</f>
        <v/>
      </c>
      <c r="AE427" s="211"/>
      <c r="AG427" s="221" t="str">
        <f t="shared" si="54"/>
        <v/>
      </c>
      <c r="AH427" s="222" t="str">
        <f t="shared" si="56"/>
        <v/>
      </c>
      <c r="AI427" s="220">
        <f t="shared" si="61"/>
        <v>4</v>
      </c>
      <c r="AJ427" s="222">
        <f t="shared" si="57"/>
        <v>0</v>
      </c>
      <c r="AK427" s="299" t="str">
        <f>IF(ISERROR(LOOKUP(E427,WKNrListe,Übersicht!$R$7:$R$46)),"-",LOOKUP(E427,WKNrListe,Übersicht!$R$7:$R$46))</f>
        <v>-</v>
      </c>
      <c r="AL427" s="299" t="str">
        <f t="shared" si="60"/>
        <v>-</v>
      </c>
      <c r="AM427" s="303"/>
      <c r="AN427" s="174" t="str">
        <f t="shared" si="53"/>
        <v>Leer</v>
      </c>
    </row>
    <row r="428" spans="1:40" s="174" customFormat="1" ht="15" customHeight="1">
      <c r="A428" s="63"/>
      <c r="B428" s="63"/>
      <c r="C428" s="84"/>
      <c r="D428" s="85"/>
      <c r="E428" s="62"/>
      <c r="F428" s="62"/>
      <c r="G428" s="62"/>
      <c r="H428" s="62"/>
      <c r="I428" s="62"/>
      <c r="J428" s="62"/>
      <c r="K428" s="62"/>
      <c r="L428" s="62"/>
      <c r="M428" s="62"/>
      <c r="N428" s="62"/>
      <c r="O428" s="62"/>
      <c r="P428" s="62"/>
      <c r="Q428" s="62"/>
      <c r="R428" s="62"/>
      <c r="S428" s="258"/>
      <c r="T428" s="248" t="str">
        <f t="shared" si="58"/>
        <v/>
      </c>
      <c r="U428" s="249" t="str">
        <f t="shared" si="59"/>
        <v/>
      </c>
      <c r="V428" s="294" t="str">
        <f t="shared" si="55"/>
        <v/>
      </c>
      <c r="W428" s="294" t="str">
        <f>IF(((E428="")+(F428="")),"",IF(VLOOKUP(F428,Mannschaften!$A$1:$B$54,2,FALSE)&lt;&gt;E428,"Reiter Mannschaften füllen",""))</f>
        <v/>
      </c>
      <c r="X428" s="248" t="str">
        <f>IF(ISBLANK(C428),"",IF((U428&gt;(LOOKUP(E428,WKNrListe,Übersicht!$O$7:$O$46)))+(U428&lt;(LOOKUP(E428,WKNrListe,Übersicht!$P$7:$P$46))),"JG falsch",""))</f>
        <v/>
      </c>
      <c r="Y428" s="255" t="str">
        <f>IF((A428="")*(B428=""),"",IF(ISERROR(MATCH(E428,WKNrListe,0)),"WK falsch",LOOKUP(E428,WKNrListe,Übersicht!$B$7:$B$46)))</f>
        <v/>
      </c>
      <c r="Z428" s="269" t="str">
        <f>IF(((AJ428=0)*(AH428&lt;&gt;"")*(AK428="-"))+((AJ428&lt;&gt;0)*(AH428&lt;&gt;"")*(AK428="-")),IF(AG428="X",Übersicht!$C$70,Übersicht!$C$69),"-")</f>
        <v>-</v>
      </c>
      <c r="AA428" s="252" t="str">
        <f>IF((($A428="")*($B428=""))+((MID($Y428,1,4)&lt;&gt;"Wahl")*(Deckblatt!$C$14='WK-Vorlagen'!$C$82))+(Deckblatt!$C$14&lt;&gt;'WK-Vorlagen'!$C$82),"",IF(ISERROR(MATCH(VALUE(MID(G428,1,2)),Schwierigkeitsstufen!$G$7:$G$19,0)),"Gerät falsch",LOOKUP(VALUE(MID(G428,1,2)),Schwierigkeitsstufen!$G$7:$G$19,Schwierigkeitsstufen!$H$7:$H$19)))</f>
        <v/>
      </c>
      <c r="AB428" s="250" t="str">
        <f>IF((($A428="")*($B428=""))+((MID($Y428,1,4)&lt;&gt;"Wahl")*(Deckblatt!$C$14='WK-Vorlagen'!$C$82))+(Deckblatt!$C$14&lt;&gt;'WK-Vorlagen'!$C$82),"",IF(ISERROR(MATCH(VALUE(MID(H428,1,2)),Schwierigkeitsstufen!$G$7:$G$19,0)),"Gerät falsch",LOOKUP(VALUE(MID(H428,1,2)),Schwierigkeitsstufen!$G$7:$G$19,Schwierigkeitsstufen!$H$7:$H$19)))</f>
        <v/>
      </c>
      <c r="AC428" s="250" t="str">
        <f>IF((($A428="")*($B428=""))+((MID($Y428,1,4)&lt;&gt;"Wahl")*(Deckblatt!$C$14='WK-Vorlagen'!$C$82))+(Deckblatt!$C$14&lt;&gt;'WK-Vorlagen'!$C$82),"",IF(ISERROR(MATCH(VALUE(MID(I428,1,2)),Schwierigkeitsstufen!$G$7:$G$19,0)),"Gerät falsch",LOOKUP(VALUE(MID(I428,1,2)),Schwierigkeitsstufen!$G$7:$G$19,Schwierigkeitsstufen!$H$7:$H$19)))</f>
        <v/>
      </c>
      <c r="AD428" s="251" t="str">
        <f>IF((($A428="")*($B428=""))+((MID($Y428,1,4)&lt;&gt;"Wahl")*(Deckblatt!$C$14='WK-Vorlagen'!$C$82))+(Deckblatt!$C$14&lt;&gt;'WK-Vorlagen'!$C$82),"",IF(ISERROR(MATCH(VALUE(MID(J428,1,2)),Schwierigkeitsstufen!$G$7:$G$19,0)),"Gerät falsch",LOOKUP(VALUE(MID(J428,1,2)),Schwierigkeitsstufen!$G$7:$G$19,Schwierigkeitsstufen!$H$7:$H$19)))</f>
        <v/>
      </c>
      <c r="AE428" s="211"/>
      <c r="AG428" s="221" t="str">
        <f t="shared" si="54"/>
        <v/>
      </c>
      <c r="AH428" s="222" t="str">
        <f t="shared" si="56"/>
        <v/>
      </c>
      <c r="AI428" s="220">
        <f t="shared" si="61"/>
        <v>4</v>
      </c>
      <c r="AJ428" s="222">
        <f t="shared" si="57"/>
        <v>0</v>
      </c>
      <c r="AK428" s="299" t="str">
        <f>IF(ISERROR(LOOKUP(E428,WKNrListe,Übersicht!$R$7:$R$46)),"-",LOOKUP(E428,WKNrListe,Übersicht!$R$7:$R$46))</f>
        <v>-</v>
      </c>
      <c r="AL428" s="299" t="str">
        <f t="shared" si="60"/>
        <v>-</v>
      </c>
      <c r="AM428" s="303"/>
      <c r="AN428" s="174" t="str">
        <f t="shared" si="53"/>
        <v>Leer</v>
      </c>
    </row>
    <row r="429" spans="1:40" s="174" customFormat="1" ht="15" customHeight="1">
      <c r="A429" s="63"/>
      <c r="B429" s="63"/>
      <c r="C429" s="84"/>
      <c r="D429" s="85"/>
      <c r="E429" s="62"/>
      <c r="F429" s="62"/>
      <c r="G429" s="62"/>
      <c r="H429" s="62"/>
      <c r="I429" s="62"/>
      <c r="J429" s="62"/>
      <c r="K429" s="62"/>
      <c r="L429" s="62"/>
      <c r="M429" s="62"/>
      <c r="N429" s="62"/>
      <c r="O429" s="62"/>
      <c r="P429" s="62"/>
      <c r="Q429" s="62"/>
      <c r="R429" s="62"/>
      <c r="S429" s="258"/>
      <c r="T429" s="248" t="str">
        <f t="shared" si="58"/>
        <v/>
      </c>
      <c r="U429" s="249" t="str">
        <f t="shared" si="59"/>
        <v/>
      </c>
      <c r="V429" s="294" t="str">
        <f t="shared" si="55"/>
        <v/>
      </c>
      <c r="W429" s="294" t="str">
        <f>IF(((E429="")+(F429="")),"",IF(VLOOKUP(F429,Mannschaften!$A$1:$B$54,2,FALSE)&lt;&gt;E429,"Reiter Mannschaften füllen",""))</f>
        <v/>
      </c>
      <c r="X429" s="248" t="str">
        <f>IF(ISBLANK(C429),"",IF((U429&gt;(LOOKUP(E429,WKNrListe,Übersicht!$O$7:$O$46)))+(U429&lt;(LOOKUP(E429,WKNrListe,Übersicht!$P$7:$P$46))),"JG falsch",""))</f>
        <v/>
      </c>
      <c r="Y429" s="255" t="str">
        <f>IF((A429="")*(B429=""),"",IF(ISERROR(MATCH(E429,WKNrListe,0)),"WK falsch",LOOKUP(E429,WKNrListe,Übersicht!$B$7:$B$46)))</f>
        <v/>
      </c>
      <c r="Z429" s="269" t="str">
        <f>IF(((AJ429=0)*(AH429&lt;&gt;"")*(AK429="-"))+((AJ429&lt;&gt;0)*(AH429&lt;&gt;"")*(AK429="-")),IF(AG429="X",Übersicht!$C$70,Übersicht!$C$69),"-")</f>
        <v>-</v>
      </c>
      <c r="AA429" s="252" t="str">
        <f>IF((($A429="")*($B429=""))+((MID($Y429,1,4)&lt;&gt;"Wahl")*(Deckblatt!$C$14='WK-Vorlagen'!$C$82))+(Deckblatt!$C$14&lt;&gt;'WK-Vorlagen'!$C$82),"",IF(ISERROR(MATCH(VALUE(MID(G429,1,2)),Schwierigkeitsstufen!$G$7:$G$19,0)),"Gerät falsch",LOOKUP(VALUE(MID(G429,1,2)),Schwierigkeitsstufen!$G$7:$G$19,Schwierigkeitsstufen!$H$7:$H$19)))</f>
        <v/>
      </c>
      <c r="AB429" s="250" t="str">
        <f>IF((($A429="")*($B429=""))+((MID($Y429,1,4)&lt;&gt;"Wahl")*(Deckblatt!$C$14='WK-Vorlagen'!$C$82))+(Deckblatt!$C$14&lt;&gt;'WK-Vorlagen'!$C$82),"",IF(ISERROR(MATCH(VALUE(MID(H429,1,2)),Schwierigkeitsstufen!$G$7:$G$19,0)),"Gerät falsch",LOOKUP(VALUE(MID(H429,1,2)),Schwierigkeitsstufen!$G$7:$G$19,Schwierigkeitsstufen!$H$7:$H$19)))</f>
        <v/>
      </c>
      <c r="AC429" s="250" t="str">
        <f>IF((($A429="")*($B429=""))+((MID($Y429,1,4)&lt;&gt;"Wahl")*(Deckblatt!$C$14='WK-Vorlagen'!$C$82))+(Deckblatt!$C$14&lt;&gt;'WK-Vorlagen'!$C$82),"",IF(ISERROR(MATCH(VALUE(MID(I429,1,2)),Schwierigkeitsstufen!$G$7:$G$19,0)),"Gerät falsch",LOOKUP(VALUE(MID(I429,1,2)),Schwierigkeitsstufen!$G$7:$G$19,Schwierigkeitsstufen!$H$7:$H$19)))</f>
        <v/>
      </c>
      <c r="AD429" s="251" t="str">
        <f>IF((($A429="")*($B429=""))+((MID($Y429,1,4)&lt;&gt;"Wahl")*(Deckblatt!$C$14='WK-Vorlagen'!$C$82))+(Deckblatt!$C$14&lt;&gt;'WK-Vorlagen'!$C$82),"",IF(ISERROR(MATCH(VALUE(MID(J429,1,2)),Schwierigkeitsstufen!$G$7:$G$19,0)),"Gerät falsch",LOOKUP(VALUE(MID(J429,1,2)),Schwierigkeitsstufen!$G$7:$G$19,Schwierigkeitsstufen!$H$7:$H$19)))</f>
        <v/>
      </c>
      <c r="AE429" s="211"/>
      <c r="AG429" s="221" t="str">
        <f t="shared" si="54"/>
        <v/>
      </c>
      <c r="AH429" s="222" t="str">
        <f t="shared" si="56"/>
        <v/>
      </c>
      <c r="AI429" s="220">
        <f t="shared" si="61"/>
        <v>4</v>
      </c>
      <c r="AJ429" s="222">
        <f t="shared" si="57"/>
        <v>0</v>
      </c>
      <c r="AK429" s="299" t="str">
        <f>IF(ISERROR(LOOKUP(E429,WKNrListe,Übersicht!$R$7:$R$46)),"-",LOOKUP(E429,WKNrListe,Übersicht!$R$7:$R$46))</f>
        <v>-</v>
      </c>
      <c r="AL429" s="299" t="str">
        <f t="shared" si="60"/>
        <v>-</v>
      </c>
      <c r="AM429" s="303"/>
      <c r="AN429" s="174" t="str">
        <f t="shared" si="53"/>
        <v>Leer</v>
      </c>
    </row>
    <row r="430" spans="1:40" s="174" customFormat="1" ht="15" customHeight="1">
      <c r="A430" s="63"/>
      <c r="B430" s="63"/>
      <c r="C430" s="84"/>
      <c r="D430" s="85"/>
      <c r="E430" s="62"/>
      <c r="F430" s="62"/>
      <c r="G430" s="62"/>
      <c r="H430" s="62"/>
      <c r="I430" s="62"/>
      <c r="J430" s="62"/>
      <c r="K430" s="62"/>
      <c r="L430" s="62"/>
      <c r="M430" s="62"/>
      <c r="N430" s="62"/>
      <c r="O430" s="62"/>
      <c r="P430" s="62"/>
      <c r="Q430" s="62"/>
      <c r="R430" s="62"/>
      <c r="S430" s="258"/>
      <c r="T430" s="248" t="str">
        <f t="shared" si="58"/>
        <v/>
      </c>
      <c r="U430" s="249" t="str">
        <f t="shared" si="59"/>
        <v/>
      </c>
      <c r="V430" s="294" t="str">
        <f t="shared" si="55"/>
        <v/>
      </c>
      <c r="W430" s="294" t="str">
        <f>IF(((E430="")+(F430="")),"",IF(VLOOKUP(F430,Mannschaften!$A$1:$B$54,2,FALSE)&lt;&gt;E430,"Reiter Mannschaften füllen",""))</f>
        <v/>
      </c>
      <c r="X430" s="248" t="str">
        <f>IF(ISBLANK(C430),"",IF((U430&gt;(LOOKUP(E430,WKNrListe,Übersicht!$O$7:$O$46)))+(U430&lt;(LOOKUP(E430,WKNrListe,Übersicht!$P$7:$P$46))),"JG falsch",""))</f>
        <v/>
      </c>
      <c r="Y430" s="255" t="str">
        <f>IF((A430="")*(B430=""),"",IF(ISERROR(MATCH(E430,WKNrListe,0)),"WK falsch",LOOKUP(E430,WKNrListe,Übersicht!$B$7:$B$46)))</f>
        <v/>
      </c>
      <c r="Z430" s="269" t="str">
        <f>IF(((AJ430=0)*(AH430&lt;&gt;"")*(AK430="-"))+((AJ430&lt;&gt;0)*(AH430&lt;&gt;"")*(AK430="-")),IF(AG430="X",Übersicht!$C$70,Übersicht!$C$69),"-")</f>
        <v>-</v>
      </c>
      <c r="AA430" s="252" t="str">
        <f>IF((($A430="")*($B430=""))+((MID($Y430,1,4)&lt;&gt;"Wahl")*(Deckblatt!$C$14='WK-Vorlagen'!$C$82))+(Deckblatt!$C$14&lt;&gt;'WK-Vorlagen'!$C$82),"",IF(ISERROR(MATCH(VALUE(MID(G430,1,2)),Schwierigkeitsstufen!$G$7:$G$19,0)),"Gerät falsch",LOOKUP(VALUE(MID(G430,1,2)),Schwierigkeitsstufen!$G$7:$G$19,Schwierigkeitsstufen!$H$7:$H$19)))</f>
        <v/>
      </c>
      <c r="AB430" s="250" t="str">
        <f>IF((($A430="")*($B430=""))+((MID($Y430,1,4)&lt;&gt;"Wahl")*(Deckblatt!$C$14='WK-Vorlagen'!$C$82))+(Deckblatt!$C$14&lt;&gt;'WK-Vorlagen'!$C$82),"",IF(ISERROR(MATCH(VALUE(MID(H430,1,2)),Schwierigkeitsstufen!$G$7:$G$19,0)),"Gerät falsch",LOOKUP(VALUE(MID(H430,1,2)),Schwierigkeitsstufen!$G$7:$G$19,Schwierigkeitsstufen!$H$7:$H$19)))</f>
        <v/>
      </c>
      <c r="AC430" s="250" t="str">
        <f>IF((($A430="")*($B430=""))+((MID($Y430,1,4)&lt;&gt;"Wahl")*(Deckblatt!$C$14='WK-Vorlagen'!$C$82))+(Deckblatt!$C$14&lt;&gt;'WK-Vorlagen'!$C$82),"",IF(ISERROR(MATCH(VALUE(MID(I430,1,2)),Schwierigkeitsstufen!$G$7:$G$19,0)),"Gerät falsch",LOOKUP(VALUE(MID(I430,1,2)),Schwierigkeitsstufen!$G$7:$G$19,Schwierigkeitsstufen!$H$7:$H$19)))</f>
        <v/>
      </c>
      <c r="AD430" s="251" t="str">
        <f>IF((($A430="")*($B430=""))+((MID($Y430,1,4)&lt;&gt;"Wahl")*(Deckblatt!$C$14='WK-Vorlagen'!$C$82))+(Deckblatt!$C$14&lt;&gt;'WK-Vorlagen'!$C$82),"",IF(ISERROR(MATCH(VALUE(MID(J430,1,2)),Schwierigkeitsstufen!$G$7:$G$19,0)),"Gerät falsch",LOOKUP(VALUE(MID(J430,1,2)),Schwierigkeitsstufen!$G$7:$G$19,Schwierigkeitsstufen!$H$7:$H$19)))</f>
        <v/>
      </c>
      <c r="AE430" s="211"/>
      <c r="AG430" s="221" t="str">
        <f t="shared" si="54"/>
        <v/>
      </c>
      <c r="AH430" s="222" t="str">
        <f t="shared" si="56"/>
        <v/>
      </c>
      <c r="AI430" s="220">
        <f t="shared" si="61"/>
        <v>4</v>
      </c>
      <c r="AJ430" s="222">
        <f t="shared" si="57"/>
        <v>0</v>
      </c>
      <c r="AK430" s="299" t="str">
        <f>IF(ISERROR(LOOKUP(E430,WKNrListe,Übersicht!$R$7:$R$46)),"-",LOOKUP(E430,WKNrListe,Übersicht!$R$7:$R$46))</f>
        <v>-</v>
      </c>
      <c r="AL430" s="299" t="str">
        <f t="shared" si="60"/>
        <v>-</v>
      </c>
      <c r="AM430" s="303"/>
      <c r="AN430" s="174" t="str">
        <f t="shared" si="53"/>
        <v>Leer</v>
      </c>
    </row>
    <row r="431" spans="1:40" s="174" customFormat="1" ht="15" customHeight="1">
      <c r="A431" s="63"/>
      <c r="B431" s="63"/>
      <c r="C431" s="84"/>
      <c r="D431" s="85"/>
      <c r="E431" s="62"/>
      <c r="F431" s="62"/>
      <c r="G431" s="62"/>
      <c r="H431" s="62"/>
      <c r="I431" s="62"/>
      <c r="J431" s="62"/>
      <c r="K431" s="62"/>
      <c r="L431" s="62"/>
      <c r="M431" s="62"/>
      <c r="N431" s="62"/>
      <c r="O431" s="62"/>
      <c r="P431" s="62"/>
      <c r="Q431" s="62"/>
      <c r="R431" s="62"/>
      <c r="S431" s="258"/>
      <c r="T431" s="248" t="str">
        <f t="shared" si="58"/>
        <v/>
      </c>
      <c r="U431" s="249" t="str">
        <f t="shared" si="59"/>
        <v/>
      </c>
      <c r="V431" s="294" t="str">
        <f t="shared" si="55"/>
        <v/>
      </c>
      <c r="W431" s="294" t="str">
        <f>IF(((E431="")+(F431="")),"",IF(VLOOKUP(F431,Mannschaften!$A$1:$B$54,2,FALSE)&lt;&gt;E431,"Reiter Mannschaften füllen",""))</f>
        <v/>
      </c>
      <c r="X431" s="248" t="str">
        <f>IF(ISBLANK(C431),"",IF((U431&gt;(LOOKUP(E431,WKNrListe,Übersicht!$O$7:$O$46)))+(U431&lt;(LOOKUP(E431,WKNrListe,Übersicht!$P$7:$P$46))),"JG falsch",""))</f>
        <v/>
      </c>
      <c r="Y431" s="255" t="str">
        <f>IF((A431="")*(B431=""),"",IF(ISERROR(MATCH(E431,WKNrListe,0)),"WK falsch",LOOKUP(E431,WKNrListe,Übersicht!$B$7:$B$46)))</f>
        <v/>
      </c>
      <c r="Z431" s="269" t="str">
        <f>IF(((AJ431=0)*(AH431&lt;&gt;"")*(AK431="-"))+((AJ431&lt;&gt;0)*(AH431&lt;&gt;"")*(AK431="-")),IF(AG431="X",Übersicht!$C$70,Übersicht!$C$69),"-")</f>
        <v>-</v>
      </c>
      <c r="AA431" s="252" t="str">
        <f>IF((($A431="")*($B431=""))+((MID($Y431,1,4)&lt;&gt;"Wahl")*(Deckblatt!$C$14='WK-Vorlagen'!$C$82))+(Deckblatt!$C$14&lt;&gt;'WK-Vorlagen'!$C$82),"",IF(ISERROR(MATCH(VALUE(MID(G431,1,2)),Schwierigkeitsstufen!$G$7:$G$19,0)),"Gerät falsch",LOOKUP(VALUE(MID(G431,1,2)),Schwierigkeitsstufen!$G$7:$G$19,Schwierigkeitsstufen!$H$7:$H$19)))</f>
        <v/>
      </c>
      <c r="AB431" s="250" t="str">
        <f>IF((($A431="")*($B431=""))+((MID($Y431,1,4)&lt;&gt;"Wahl")*(Deckblatt!$C$14='WK-Vorlagen'!$C$82))+(Deckblatt!$C$14&lt;&gt;'WK-Vorlagen'!$C$82),"",IF(ISERROR(MATCH(VALUE(MID(H431,1,2)),Schwierigkeitsstufen!$G$7:$G$19,0)),"Gerät falsch",LOOKUP(VALUE(MID(H431,1,2)),Schwierigkeitsstufen!$G$7:$G$19,Schwierigkeitsstufen!$H$7:$H$19)))</f>
        <v/>
      </c>
      <c r="AC431" s="250" t="str">
        <f>IF((($A431="")*($B431=""))+((MID($Y431,1,4)&lt;&gt;"Wahl")*(Deckblatt!$C$14='WK-Vorlagen'!$C$82))+(Deckblatt!$C$14&lt;&gt;'WK-Vorlagen'!$C$82),"",IF(ISERROR(MATCH(VALUE(MID(I431,1,2)),Schwierigkeitsstufen!$G$7:$G$19,0)),"Gerät falsch",LOOKUP(VALUE(MID(I431,1,2)),Schwierigkeitsstufen!$G$7:$G$19,Schwierigkeitsstufen!$H$7:$H$19)))</f>
        <v/>
      </c>
      <c r="AD431" s="251" t="str">
        <f>IF((($A431="")*($B431=""))+((MID($Y431,1,4)&lt;&gt;"Wahl")*(Deckblatt!$C$14='WK-Vorlagen'!$C$82))+(Deckblatt!$C$14&lt;&gt;'WK-Vorlagen'!$C$82),"",IF(ISERROR(MATCH(VALUE(MID(J431,1,2)),Schwierigkeitsstufen!$G$7:$G$19,0)),"Gerät falsch",LOOKUP(VALUE(MID(J431,1,2)),Schwierigkeitsstufen!$G$7:$G$19,Schwierigkeitsstufen!$H$7:$H$19)))</f>
        <v/>
      </c>
      <c r="AE431" s="211"/>
      <c r="AG431" s="221" t="str">
        <f t="shared" si="54"/>
        <v/>
      </c>
      <c r="AH431" s="222" t="str">
        <f t="shared" si="56"/>
        <v/>
      </c>
      <c r="AI431" s="220">
        <f t="shared" si="61"/>
        <v>4</v>
      </c>
      <c r="AJ431" s="222">
        <f t="shared" si="57"/>
        <v>0</v>
      </c>
      <c r="AK431" s="299" t="str">
        <f>IF(ISERROR(LOOKUP(E431,WKNrListe,Übersicht!$R$7:$R$46)),"-",LOOKUP(E431,WKNrListe,Übersicht!$R$7:$R$46))</f>
        <v>-</v>
      </c>
      <c r="AL431" s="299" t="str">
        <f t="shared" si="60"/>
        <v>-</v>
      </c>
      <c r="AM431" s="303"/>
      <c r="AN431" s="174" t="str">
        <f t="shared" ref="AN431:AN494" si="62">IF(ISBLANK(A431)*ISBLANK(B431)*ISBLANK(C431)*ISBLANK(E431)*ISBLANK(F431)*ISBLANK(G431)*ISBLANK(H431)*ISBLANK(I431)*ISBLANK(J431),"Leer","Voll")</f>
        <v>Leer</v>
      </c>
    </row>
    <row r="432" spans="1:40" s="174" customFormat="1" ht="15" customHeight="1">
      <c r="A432" s="63"/>
      <c r="B432" s="63"/>
      <c r="C432" s="84"/>
      <c r="D432" s="85"/>
      <c r="E432" s="62"/>
      <c r="F432" s="62"/>
      <c r="G432" s="62"/>
      <c r="H432" s="62"/>
      <c r="I432" s="62"/>
      <c r="J432" s="62"/>
      <c r="K432" s="62"/>
      <c r="L432" s="62"/>
      <c r="M432" s="62"/>
      <c r="N432" s="62"/>
      <c r="O432" s="62"/>
      <c r="P432" s="62"/>
      <c r="Q432" s="62"/>
      <c r="R432" s="62"/>
      <c r="S432" s="258"/>
      <c r="T432" s="248" t="str">
        <f t="shared" si="58"/>
        <v/>
      </c>
      <c r="U432" s="249" t="str">
        <f t="shared" si="59"/>
        <v/>
      </c>
      <c r="V432" s="294" t="str">
        <f t="shared" si="55"/>
        <v/>
      </c>
      <c r="W432" s="294" t="str">
        <f>IF(((E432="")+(F432="")),"",IF(VLOOKUP(F432,Mannschaften!$A$1:$B$54,2,FALSE)&lt;&gt;E432,"Reiter Mannschaften füllen",""))</f>
        <v/>
      </c>
      <c r="X432" s="248" t="str">
        <f>IF(ISBLANK(C432),"",IF((U432&gt;(LOOKUP(E432,WKNrListe,Übersicht!$O$7:$O$46)))+(U432&lt;(LOOKUP(E432,WKNrListe,Übersicht!$P$7:$P$46))),"JG falsch",""))</f>
        <v/>
      </c>
      <c r="Y432" s="255" t="str">
        <f>IF((A432="")*(B432=""),"",IF(ISERROR(MATCH(E432,WKNrListe,0)),"WK falsch",LOOKUP(E432,WKNrListe,Übersicht!$B$7:$B$46)))</f>
        <v/>
      </c>
      <c r="Z432" s="269" t="str">
        <f>IF(((AJ432=0)*(AH432&lt;&gt;"")*(AK432="-"))+((AJ432&lt;&gt;0)*(AH432&lt;&gt;"")*(AK432="-")),IF(AG432="X",Übersicht!$C$70,Übersicht!$C$69),"-")</f>
        <v>-</v>
      </c>
      <c r="AA432" s="252" t="str">
        <f>IF((($A432="")*($B432=""))+((MID($Y432,1,4)&lt;&gt;"Wahl")*(Deckblatt!$C$14='WK-Vorlagen'!$C$82))+(Deckblatt!$C$14&lt;&gt;'WK-Vorlagen'!$C$82),"",IF(ISERROR(MATCH(VALUE(MID(G432,1,2)),Schwierigkeitsstufen!$G$7:$G$19,0)),"Gerät falsch",LOOKUP(VALUE(MID(G432,1,2)),Schwierigkeitsstufen!$G$7:$G$19,Schwierigkeitsstufen!$H$7:$H$19)))</f>
        <v/>
      </c>
      <c r="AB432" s="250" t="str">
        <f>IF((($A432="")*($B432=""))+((MID($Y432,1,4)&lt;&gt;"Wahl")*(Deckblatt!$C$14='WK-Vorlagen'!$C$82))+(Deckblatt!$C$14&lt;&gt;'WK-Vorlagen'!$C$82),"",IF(ISERROR(MATCH(VALUE(MID(H432,1,2)),Schwierigkeitsstufen!$G$7:$G$19,0)),"Gerät falsch",LOOKUP(VALUE(MID(H432,1,2)),Schwierigkeitsstufen!$G$7:$G$19,Schwierigkeitsstufen!$H$7:$H$19)))</f>
        <v/>
      </c>
      <c r="AC432" s="250" t="str">
        <f>IF((($A432="")*($B432=""))+((MID($Y432,1,4)&lt;&gt;"Wahl")*(Deckblatt!$C$14='WK-Vorlagen'!$C$82))+(Deckblatt!$C$14&lt;&gt;'WK-Vorlagen'!$C$82),"",IF(ISERROR(MATCH(VALUE(MID(I432,1,2)),Schwierigkeitsstufen!$G$7:$G$19,0)),"Gerät falsch",LOOKUP(VALUE(MID(I432,1,2)),Schwierigkeitsstufen!$G$7:$G$19,Schwierigkeitsstufen!$H$7:$H$19)))</f>
        <v/>
      </c>
      <c r="AD432" s="251" t="str">
        <f>IF((($A432="")*($B432=""))+((MID($Y432,1,4)&lt;&gt;"Wahl")*(Deckblatt!$C$14='WK-Vorlagen'!$C$82))+(Deckblatt!$C$14&lt;&gt;'WK-Vorlagen'!$C$82),"",IF(ISERROR(MATCH(VALUE(MID(J432,1,2)),Schwierigkeitsstufen!$G$7:$G$19,0)),"Gerät falsch",LOOKUP(VALUE(MID(J432,1,2)),Schwierigkeitsstufen!$G$7:$G$19,Schwierigkeitsstufen!$H$7:$H$19)))</f>
        <v/>
      </c>
      <c r="AE432" s="211"/>
      <c r="AG432" s="221" t="str">
        <f t="shared" si="54"/>
        <v/>
      </c>
      <c r="AH432" s="222" t="str">
        <f t="shared" si="56"/>
        <v/>
      </c>
      <c r="AI432" s="220">
        <f t="shared" si="61"/>
        <v>4</v>
      </c>
      <c r="AJ432" s="222">
        <f t="shared" si="57"/>
        <v>0</v>
      </c>
      <c r="AK432" s="299" t="str">
        <f>IF(ISERROR(LOOKUP(E432,WKNrListe,Übersicht!$R$7:$R$46)),"-",LOOKUP(E432,WKNrListe,Übersicht!$R$7:$R$46))</f>
        <v>-</v>
      </c>
      <c r="AL432" s="299" t="str">
        <f t="shared" si="60"/>
        <v>-</v>
      </c>
      <c r="AM432" s="303"/>
      <c r="AN432" s="174" t="str">
        <f t="shared" si="62"/>
        <v>Leer</v>
      </c>
    </row>
    <row r="433" spans="1:40" s="174" customFormat="1" ht="15" customHeight="1">
      <c r="A433" s="63"/>
      <c r="B433" s="63"/>
      <c r="C433" s="84"/>
      <c r="D433" s="85"/>
      <c r="E433" s="62"/>
      <c r="F433" s="62"/>
      <c r="G433" s="62"/>
      <c r="H433" s="62"/>
      <c r="I433" s="62"/>
      <c r="J433" s="62"/>
      <c r="K433" s="62"/>
      <c r="L433" s="62"/>
      <c r="M433" s="62"/>
      <c r="N433" s="62"/>
      <c r="O433" s="62"/>
      <c r="P433" s="62"/>
      <c r="Q433" s="62"/>
      <c r="R433" s="62"/>
      <c r="S433" s="258"/>
      <c r="T433" s="248" t="str">
        <f t="shared" si="58"/>
        <v/>
      </c>
      <c r="U433" s="249" t="str">
        <f t="shared" si="59"/>
        <v/>
      </c>
      <c r="V433" s="294" t="str">
        <f t="shared" si="55"/>
        <v/>
      </c>
      <c r="W433" s="294" t="str">
        <f>IF(((E433="")+(F433="")),"",IF(VLOOKUP(F433,Mannschaften!$A$1:$B$54,2,FALSE)&lt;&gt;E433,"Reiter Mannschaften füllen",""))</f>
        <v/>
      </c>
      <c r="X433" s="248" t="str">
        <f>IF(ISBLANK(C433),"",IF((U433&gt;(LOOKUP(E433,WKNrListe,Übersicht!$O$7:$O$46)))+(U433&lt;(LOOKUP(E433,WKNrListe,Übersicht!$P$7:$P$46))),"JG falsch",""))</f>
        <v/>
      </c>
      <c r="Y433" s="255" t="str">
        <f>IF((A433="")*(B433=""),"",IF(ISERROR(MATCH(E433,WKNrListe,0)),"WK falsch",LOOKUP(E433,WKNrListe,Übersicht!$B$7:$B$46)))</f>
        <v/>
      </c>
      <c r="Z433" s="269" t="str">
        <f>IF(((AJ433=0)*(AH433&lt;&gt;"")*(AK433="-"))+((AJ433&lt;&gt;0)*(AH433&lt;&gt;"")*(AK433="-")),IF(AG433="X",Übersicht!$C$70,Übersicht!$C$69),"-")</f>
        <v>-</v>
      </c>
      <c r="AA433" s="252" t="str">
        <f>IF((($A433="")*($B433=""))+((MID($Y433,1,4)&lt;&gt;"Wahl")*(Deckblatt!$C$14='WK-Vorlagen'!$C$82))+(Deckblatt!$C$14&lt;&gt;'WK-Vorlagen'!$C$82),"",IF(ISERROR(MATCH(VALUE(MID(G433,1,2)),Schwierigkeitsstufen!$G$7:$G$19,0)),"Gerät falsch",LOOKUP(VALUE(MID(G433,1,2)),Schwierigkeitsstufen!$G$7:$G$19,Schwierigkeitsstufen!$H$7:$H$19)))</f>
        <v/>
      </c>
      <c r="AB433" s="250" t="str">
        <f>IF((($A433="")*($B433=""))+((MID($Y433,1,4)&lt;&gt;"Wahl")*(Deckblatt!$C$14='WK-Vorlagen'!$C$82))+(Deckblatt!$C$14&lt;&gt;'WK-Vorlagen'!$C$82),"",IF(ISERROR(MATCH(VALUE(MID(H433,1,2)),Schwierigkeitsstufen!$G$7:$G$19,0)),"Gerät falsch",LOOKUP(VALUE(MID(H433,1,2)),Schwierigkeitsstufen!$G$7:$G$19,Schwierigkeitsstufen!$H$7:$H$19)))</f>
        <v/>
      </c>
      <c r="AC433" s="250" t="str">
        <f>IF((($A433="")*($B433=""))+((MID($Y433,1,4)&lt;&gt;"Wahl")*(Deckblatt!$C$14='WK-Vorlagen'!$C$82))+(Deckblatt!$C$14&lt;&gt;'WK-Vorlagen'!$C$82),"",IF(ISERROR(MATCH(VALUE(MID(I433,1,2)),Schwierigkeitsstufen!$G$7:$G$19,0)),"Gerät falsch",LOOKUP(VALUE(MID(I433,1,2)),Schwierigkeitsstufen!$G$7:$G$19,Schwierigkeitsstufen!$H$7:$H$19)))</f>
        <v/>
      </c>
      <c r="AD433" s="251" t="str">
        <f>IF((($A433="")*($B433=""))+((MID($Y433,1,4)&lt;&gt;"Wahl")*(Deckblatt!$C$14='WK-Vorlagen'!$C$82))+(Deckblatt!$C$14&lt;&gt;'WK-Vorlagen'!$C$82),"",IF(ISERROR(MATCH(VALUE(MID(J433,1,2)),Schwierigkeitsstufen!$G$7:$G$19,0)),"Gerät falsch",LOOKUP(VALUE(MID(J433,1,2)),Schwierigkeitsstufen!$G$7:$G$19,Schwierigkeitsstufen!$H$7:$H$19)))</f>
        <v/>
      </c>
      <c r="AE433" s="211"/>
      <c r="AG433" s="221" t="str">
        <f t="shared" si="54"/>
        <v/>
      </c>
      <c r="AH433" s="222" t="str">
        <f t="shared" si="56"/>
        <v/>
      </c>
      <c r="AI433" s="220">
        <f t="shared" si="61"/>
        <v>4</v>
      </c>
      <c r="AJ433" s="222">
        <f t="shared" si="57"/>
        <v>0</v>
      </c>
      <c r="AK433" s="299" t="str">
        <f>IF(ISERROR(LOOKUP(E433,WKNrListe,Übersicht!$R$7:$R$46)),"-",LOOKUP(E433,WKNrListe,Übersicht!$R$7:$R$46))</f>
        <v>-</v>
      </c>
      <c r="AL433" s="299" t="str">
        <f t="shared" si="60"/>
        <v>-</v>
      </c>
      <c r="AM433" s="303"/>
      <c r="AN433" s="174" t="str">
        <f t="shared" si="62"/>
        <v>Leer</v>
      </c>
    </row>
    <row r="434" spans="1:40" s="174" customFormat="1" ht="15" customHeight="1">
      <c r="A434" s="63"/>
      <c r="B434" s="63"/>
      <c r="C434" s="84"/>
      <c r="D434" s="85"/>
      <c r="E434" s="62"/>
      <c r="F434" s="62"/>
      <c r="G434" s="62"/>
      <c r="H434" s="62"/>
      <c r="I434" s="62"/>
      <c r="J434" s="62"/>
      <c r="K434" s="62"/>
      <c r="L434" s="62"/>
      <c r="M434" s="62"/>
      <c r="N434" s="62"/>
      <c r="O434" s="62"/>
      <c r="P434" s="62"/>
      <c r="Q434" s="62"/>
      <c r="R434" s="62"/>
      <c r="S434" s="258"/>
      <c r="T434" s="248" t="str">
        <f t="shared" si="58"/>
        <v/>
      </c>
      <c r="U434" s="249" t="str">
        <f t="shared" si="59"/>
        <v/>
      </c>
      <c r="V434" s="294" t="str">
        <f t="shared" si="55"/>
        <v/>
      </c>
      <c r="W434" s="294" t="str">
        <f>IF(((E434="")+(F434="")),"",IF(VLOOKUP(F434,Mannschaften!$A$1:$B$54,2,FALSE)&lt;&gt;E434,"Reiter Mannschaften füllen",""))</f>
        <v/>
      </c>
      <c r="X434" s="248" t="str">
        <f>IF(ISBLANK(C434),"",IF((U434&gt;(LOOKUP(E434,WKNrListe,Übersicht!$O$7:$O$46)))+(U434&lt;(LOOKUP(E434,WKNrListe,Übersicht!$P$7:$P$46))),"JG falsch",""))</f>
        <v/>
      </c>
      <c r="Y434" s="255" t="str">
        <f>IF((A434="")*(B434=""),"",IF(ISERROR(MATCH(E434,WKNrListe,0)),"WK falsch",LOOKUP(E434,WKNrListe,Übersicht!$B$7:$B$46)))</f>
        <v/>
      </c>
      <c r="Z434" s="269" t="str">
        <f>IF(((AJ434=0)*(AH434&lt;&gt;"")*(AK434="-"))+((AJ434&lt;&gt;0)*(AH434&lt;&gt;"")*(AK434="-")),IF(AG434="X",Übersicht!$C$70,Übersicht!$C$69),"-")</f>
        <v>-</v>
      </c>
      <c r="AA434" s="252" t="str">
        <f>IF((($A434="")*($B434=""))+((MID($Y434,1,4)&lt;&gt;"Wahl")*(Deckblatt!$C$14='WK-Vorlagen'!$C$82))+(Deckblatt!$C$14&lt;&gt;'WK-Vorlagen'!$C$82),"",IF(ISERROR(MATCH(VALUE(MID(G434,1,2)),Schwierigkeitsstufen!$G$7:$G$19,0)),"Gerät falsch",LOOKUP(VALUE(MID(G434,1,2)),Schwierigkeitsstufen!$G$7:$G$19,Schwierigkeitsstufen!$H$7:$H$19)))</f>
        <v/>
      </c>
      <c r="AB434" s="250" t="str">
        <f>IF((($A434="")*($B434=""))+((MID($Y434,1,4)&lt;&gt;"Wahl")*(Deckblatt!$C$14='WK-Vorlagen'!$C$82))+(Deckblatt!$C$14&lt;&gt;'WK-Vorlagen'!$C$82),"",IF(ISERROR(MATCH(VALUE(MID(H434,1,2)),Schwierigkeitsstufen!$G$7:$G$19,0)),"Gerät falsch",LOOKUP(VALUE(MID(H434,1,2)),Schwierigkeitsstufen!$G$7:$G$19,Schwierigkeitsstufen!$H$7:$H$19)))</f>
        <v/>
      </c>
      <c r="AC434" s="250" t="str">
        <f>IF((($A434="")*($B434=""))+((MID($Y434,1,4)&lt;&gt;"Wahl")*(Deckblatt!$C$14='WK-Vorlagen'!$C$82))+(Deckblatt!$C$14&lt;&gt;'WK-Vorlagen'!$C$82),"",IF(ISERROR(MATCH(VALUE(MID(I434,1,2)),Schwierigkeitsstufen!$G$7:$G$19,0)),"Gerät falsch",LOOKUP(VALUE(MID(I434,1,2)),Schwierigkeitsstufen!$G$7:$G$19,Schwierigkeitsstufen!$H$7:$H$19)))</f>
        <v/>
      </c>
      <c r="AD434" s="251" t="str">
        <f>IF((($A434="")*($B434=""))+((MID($Y434,1,4)&lt;&gt;"Wahl")*(Deckblatt!$C$14='WK-Vorlagen'!$C$82))+(Deckblatt!$C$14&lt;&gt;'WK-Vorlagen'!$C$82),"",IF(ISERROR(MATCH(VALUE(MID(J434,1,2)),Schwierigkeitsstufen!$G$7:$G$19,0)),"Gerät falsch",LOOKUP(VALUE(MID(J434,1,2)),Schwierigkeitsstufen!$G$7:$G$19,Schwierigkeitsstufen!$H$7:$H$19)))</f>
        <v/>
      </c>
      <c r="AE434" s="211"/>
      <c r="AG434" s="221" t="str">
        <f t="shared" si="54"/>
        <v/>
      </c>
      <c r="AH434" s="222" t="str">
        <f t="shared" si="56"/>
        <v/>
      </c>
      <c r="AI434" s="220">
        <f t="shared" si="61"/>
        <v>4</v>
      </c>
      <c r="AJ434" s="222">
        <f t="shared" si="57"/>
        <v>0</v>
      </c>
      <c r="AK434" s="299" t="str">
        <f>IF(ISERROR(LOOKUP(E434,WKNrListe,Übersicht!$R$7:$R$46)),"-",LOOKUP(E434,WKNrListe,Übersicht!$R$7:$R$46))</f>
        <v>-</v>
      </c>
      <c r="AL434" s="299" t="str">
        <f t="shared" si="60"/>
        <v>-</v>
      </c>
      <c r="AM434" s="303"/>
      <c r="AN434" s="174" t="str">
        <f t="shared" si="62"/>
        <v>Leer</v>
      </c>
    </row>
    <row r="435" spans="1:40" s="174" customFormat="1" ht="15" customHeight="1">
      <c r="A435" s="63"/>
      <c r="B435" s="63"/>
      <c r="C435" s="84"/>
      <c r="D435" s="85"/>
      <c r="E435" s="62"/>
      <c r="F435" s="62"/>
      <c r="G435" s="62"/>
      <c r="H435" s="62"/>
      <c r="I435" s="62"/>
      <c r="J435" s="62"/>
      <c r="K435" s="62"/>
      <c r="L435" s="62"/>
      <c r="M435" s="62"/>
      <c r="N435" s="62"/>
      <c r="O435" s="62"/>
      <c r="P435" s="62"/>
      <c r="Q435" s="62"/>
      <c r="R435" s="62"/>
      <c r="S435" s="258"/>
      <c r="T435" s="248" t="str">
        <f t="shared" si="58"/>
        <v/>
      </c>
      <c r="U435" s="249" t="str">
        <f t="shared" si="59"/>
        <v/>
      </c>
      <c r="V435" s="294" t="str">
        <f t="shared" si="55"/>
        <v/>
      </c>
      <c r="W435" s="294" t="str">
        <f>IF(((E435="")+(F435="")),"",IF(VLOOKUP(F435,Mannschaften!$A$1:$B$54,2,FALSE)&lt;&gt;E435,"Reiter Mannschaften füllen",""))</f>
        <v/>
      </c>
      <c r="X435" s="248" t="str">
        <f>IF(ISBLANK(C435),"",IF((U435&gt;(LOOKUP(E435,WKNrListe,Übersicht!$O$7:$O$46)))+(U435&lt;(LOOKUP(E435,WKNrListe,Übersicht!$P$7:$P$46))),"JG falsch",""))</f>
        <v/>
      </c>
      <c r="Y435" s="255" t="str">
        <f>IF((A435="")*(B435=""),"",IF(ISERROR(MATCH(E435,WKNrListe,0)),"WK falsch",LOOKUP(E435,WKNrListe,Übersicht!$B$7:$B$46)))</f>
        <v/>
      </c>
      <c r="Z435" s="269" t="str">
        <f>IF(((AJ435=0)*(AH435&lt;&gt;"")*(AK435="-"))+((AJ435&lt;&gt;0)*(AH435&lt;&gt;"")*(AK435="-")),IF(AG435="X",Übersicht!$C$70,Übersicht!$C$69),"-")</f>
        <v>-</v>
      </c>
      <c r="AA435" s="252" t="str">
        <f>IF((($A435="")*($B435=""))+((MID($Y435,1,4)&lt;&gt;"Wahl")*(Deckblatt!$C$14='WK-Vorlagen'!$C$82))+(Deckblatt!$C$14&lt;&gt;'WK-Vorlagen'!$C$82),"",IF(ISERROR(MATCH(VALUE(MID(G435,1,2)),Schwierigkeitsstufen!$G$7:$G$19,0)),"Gerät falsch",LOOKUP(VALUE(MID(G435,1,2)),Schwierigkeitsstufen!$G$7:$G$19,Schwierigkeitsstufen!$H$7:$H$19)))</f>
        <v/>
      </c>
      <c r="AB435" s="250" t="str">
        <f>IF((($A435="")*($B435=""))+((MID($Y435,1,4)&lt;&gt;"Wahl")*(Deckblatt!$C$14='WK-Vorlagen'!$C$82))+(Deckblatt!$C$14&lt;&gt;'WK-Vorlagen'!$C$82),"",IF(ISERROR(MATCH(VALUE(MID(H435,1,2)),Schwierigkeitsstufen!$G$7:$G$19,0)),"Gerät falsch",LOOKUP(VALUE(MID(H435,1,2)),Schwierigkeitsstufen!$G$7:$G$19,Schwierigkeitsstufen!$H$7:$H$19)))</f>
        <v/>
      </c>
      <c r="AC435" s="250" t="str">
        <f>IF((($A435="")*($B435=""))+((MID($Y435,1,4)&lt;&gt;"Wahl")*(Deckblatt!$C$14='WK-Vorlagen'!$C$82))+(Deckblatt!$C$14&lt;&gt;'WK-Vorlagen'!$C$82),"",IF(ISERROR(MATCH(VALUE(MID(I435,1,2)),Schwierigkeitsstufen!$G$7:$G$19,0)),"Gerät falsch",LOOKUP(VALUE(MID(I435,1,2)),Schwierigkeitsstufen!$G$7:$G$19,Schwierigkeitsstufen!$H$7:$H$19)))</f>
        <v/>
      </c>
      <c r="AD435" s="251" t="str">
        <f>IF((($A435="")*($B435=""))+((MID($Y435,1,4)&lt;&gt;"Wahl")*(Deckblatt!$C$14='WK-Vorlagen'!$C$82))+(Deckblatt!$C$14&lt;&gt;'WK-Vorlagen'!$C$82),"",IF(ISERROR(MATCH(VALUE(MID(J435,1,2)),Schwierigkeitsstufen!$G$7:$G$19,0)),"Gerät falsch",LOOKUP(VALUE(MID(J435,1,2)),Schwierigkeitsstufen!$G$7:$G$19,Schwierigkeitsstufen!$H$7:$H$19)))</f>
        <v/>
      </c>
      <c r="AE435" s="211"/>
      <c r="AG435" s="221" t="str">
        <f t="shared" si="54"/>
        <v/>
      </c>
      <c r="AH435" s="222" t="str">
        <f t="shared" si="56"/>
        <v/>
      </c>
      <c r="AI435" s="220">
        <f t="shared" si="61"/>
        <v>4</v>
      </c>
      <c r="AJ435" s="222">
        <f t="shared" si="57"/>
        <v>0</v>
      </c>
      <c r="AK435" s="299" t="str">
        <f>IF(ISERROR(LOOKUP(E435,WKNrListe,Übersicht!$R$7:$R$46)),"-",LOOKUP(E435,WKNrListe,Übersicht!$R$7:$R$46))</f>
        <v>-</v>
      </c>
      <c r="AL435" s="299" t="str">
        <f t="shared" si="60"/>
        <v>-</v>
      </c>
      <c r="AM435" s="303"/>
      <c r="AN435" s="174" t="str">
        <f t="shared" si="62"/>
        <v>Leer</v>
      </c>
    </row>
    <row r="436" spans="1:40" s="174" customFormat="1" ht="15" customHeight="1">
      <c r="A436" s="63"/>
      <c r="B436" s="63"/>
      <c r="C436" s="84"/>
      <c r="D436" s="85"/>
      <c r="E436" s="62"/>
      <c r="F436" s="62"/>
      <c r="G436" s="62"/>
      <c r="H436" s="62"/>
      <c r="I436" s="62"/>
      <c r="J436" s="62"/>
      <c r="K436" s="62"/>
      <c r="L436" s="62"/>
      <c r="M436" s="62"/>
      <c r="N436" s="62"/>
      <c r="O436" s="62"/>
      <c r="P436" s="62"/>
      <c r="Q436" s="62"/>
      <c r="R436" s="62"/>
      <c r="S436" s="258"/>
      <c r="T436" s="248" t="str">
        <f t="shared" si="58"/>
        <v/>
      </c>
      <c r="U436" s="249" t="str">
        <f t="shared" si="59"/>
        <v/>
      </c>
      <c r="V436" s="294" t="str">
        <f t="shared" si="55"/>
        <v/>
      </c>
      <c r="W436" s="294" t="str">
        <f>IF(((E436="")+(F436="")),"",IF(VLOOKUP(F436,Mannschaften!$A$1:$B$54,2,FALSE)&lt;&gt;E436,"Reiter Mannschaften füllen",""))</f>
        <v/>
      </c>
      <c r="X436" s="248" t="str">
        <f>IF(ISBLANK(C436),"",IF((U436&gt;(LOOKUP(E436,WKNrListe,Übersicht!$O$7:$O$46)))+(U436&lt;(LOOKUP(E436,WKNrListe,Übersicht!$P$7:$P$46))),"JG falsch",""))</f>
        <v/>
      </c>
      <c r="Y436" s="255" t="str">
        <f>IF((A436="")*(B436=""),"",IF(ISERROR(MATCH(E436,WKNrListe,0)),"WK falsch",LOOKUP(E436,WKNrListe,Übersicht!$B$7:$B$46)))</f>
        <v/>
      </c>
      <c r="Z436" s="269" t="str">
        <f>IF(((AJ436=0)*(AH436&lt;&gt;"")*(AK436="-"))+((AJ436&lt;&gt;0)*(AH436&lt;&gt;"")*(AK436="-")),IF(AG436="X",Übersicht!$C$70,Übersicht!$C$69),"-")</f>
        <v>-</v>
      </c>
      <c r="AA436" s="252" t="str">
        <f>IF((($A436="")*($B436=""))+((MID($Y436,1,4)&lt;&gt;"Wahl")*(Deckblatt!$C$14='WK-Vorlagen'!$C$82))+(Deckblatt!$C$14&lt;&gt;'WK-Vorlagen'!$C$82),"",IF(ISERROR(MATCH(VALUE(MID(G436,1,2)),Schwierigkeitsstufen!$G$7:$G$19,0)),"Gerät falsch",LOOKUP(VALUE(MID(G436,1,2)),Schwierigkeitsstufen!$G$7:$G$19,Schwierigkeitsstufen!$H$7:$H$19)))</f>
        <v/>
      </c>
      <c r="AB436" s="250" t="str">
        <f>IF((($A436="")*($B436=""))+((MID($Y436,1,4)&lt;&gt;"Wahl")*(Deckblatt!$C$14='WK-Vorlagen'!$C$82))+(Deckblatt!$C$14&lt;&gt;'WK-Vorlagen'!$C$82),"",IF(ISERROR(MATCH(VALUE(MID(H436,1,2)),Schwierigkeitsstufen!$G$7:$G$19,0)),"Gerät falsch",LOOKUP(VALUE(MID(H436,1,2)),Schwierigkeitsstufen!$G$7:$G$19,Schwierigkeitsstufen!$H$7:$H$19)))</f>
        <v/>
      </c>
      <c r="AC436" s="250" t="str">
        <f>IF((($A436="")*($B436=""))+((MID($Y436,1,4)&lt;&gt;"Wahl")*(Deckblatt!$C$14='WK-Vorlagen'!$C$82))+(Deckblatt!$C$14&lt;&gt;'WK-Vorlagen'!$C$82),"",IF(ISERROR(MATCH(VALUE(MID(I436,1,2)),Schwierigkeitsstufen!$G$7:$G$19,0)),"Gerät falsch",LOOKUP(VALUE(MID(I436,1,2)),Schwierigkeitsstufen!$G$7:$G$19,Schwierigkeitsstufen!$H$7:$H$19)))</f>
        <v/>
      </c>
      <c r="AD436" s="251" t="str">
        <f>IF((($A436="")*($B436=""))+((MID($Y436,1,4)&lt;&gt;"Wahl")*(Deckblatt!$C$14='WK-Vorlagen'!$C$82))+(Deckblatt!$C$14&lt;&gt;'WK-Vorlagen'!$C$82),"",IF(ISERROR(MATCH(VALUE(MID(J436,1,2)),Schwierigkeitsstufen!$G$7:$G$19,0)),"Gerät falsch",LOOKUP(VALUE(MID(J436,1,2)),Schwierigkeitsstufen!$G$7:$G$19,Schwierigkeitsstufen!$H$7:$H$19)))</f>
        <v/>
      </c>
      <c r="AE436" s="211"/>
      <c r="AG436" s="221" t="str">
        <f t="shared" si="54"/>
        <v/>
      </c>
      <c r="AH436" s="222" t="str">
        <f t="shared" si="56"/>
        <v/>
      </c>
      <c r="AI436" s="220">
        <f t="shared" si="61"/>
        <v>4</v>
      </c>
      <c r="AJ436" s="222">
        <f t="shared" si="57"/>
        <v>0</v>
      </c>
      <c r="AK436" s="299" t="str">
        <f>IF(ISERROR(LOOKUP(E436,WKNrListe,Übersicht!$R$7:$R$46)),"-",LOOKUP(E436,WKNrListe,Übersicht!$R$7:$R$46))</f>
        <v>-</v>
      </c>
      <c r="AL436" s="299" t="str">
        <f t="shared" si="60"/>
        <v>-</v>
      </c>
      <c r="AM436" s="303"/>
      <c r="AN436" s="174" t="str">
        <f t="shared" si="62"/>
        <v>Leer</v>
      </c>
    </row>
    <row r="437" spans="1:40" s="174" customFormat="1" ht="15" customHeight="1">
      <c r="A437" s="63"/>
      <c r="B437" s="63"/>
      <c r="C437" s="84"/>
      <c r="D437" s="85"/>
      <c r="E437" s="62"/>
      <c r="F437" s="62"/>
      <c r="G437" s="62"/>
      <c r="H437" s="62"/>
      <c r="I437" s="62"/>
      <c r="J437" s="62"/>
      <c r="K437" s="62"/>
      <c r="L437" s="62"/>
      <c r="M437" s="62"/>
      <c r="N437" s="62"/>
      <c r="O437" s="62"/>
      <c r="P437" s="62"/>
      <c r="Q437" s="62"/>
      <c r="R437" s="62"/>
      <c r="S437" s="258"/>
      <c r="T437" s="248" t="str">
        <f t="shared" si="58"/>
        <v/>
      </c>
      <c r="U437" s="249" t="str">
        <f t="shared" si="59"/>
        <v/>
      </c>
      <c r="V437" s="294" t="str">
        <f t="shared" si="55"/>
        <v/>
      </c>
      <c r="W437" s="294" t="str">
        <f>IF(((E437="")+(F437="")),"",IF(VLOOKUP(F437,Mannschaften!$A$1:$B$54,2,FALSE)&lt;&gt;E437,"Reiter Mannschaften füllen",""))</f>
        <v/>
      </c>
      <c r="X437" s="248" t="str">
        <f>IF(ISBLANK(C437),"",IF((U437&gt;(LOOKUP(E437,WKNrListe,Übersicht!$O$7:$O$46)))+(U437&lt;(LOOKUP(E437,WKNrListe,Übersicht!$P$7:$P$46))),"JG falsch",""))</f>
        <v/>
      </c>
      <c r="Y437" s="255" t="str">
        <f>IF((A437="")*(B437=""),"",IF(ISERROR(MATCH(E437,WKNrListe,0)),"WK falsch",LOOKUP(E437,WKNrListe,Übersicht!$B$7:$B$46)))</f>
        <v/>
      </c>
      <c r="Z437" s="269" t="str">
        <f>IF(((AJ437=0)*(AH437&lt;&gt;"")*(AK437="-"))+((AJ437&lt;&gt;0)*(AH437&lt;&gt;"")*(AK437="-")),IF(AG437="X",Übersicht!$C$70,Übersicht!$C$69),"-")</f>
        <v>-</v>
      </c>
      <c r="AA437" s="252" t="str">
        <f>IF((($A437="")*($B437=""))+((MID($Y437,1,4)&lt;&gt;"Wahl")*(Deckblatt!$C$14='WK-Vorlagen'!$C$82))+(Deckblatt!$C$14&lt;&gt;'WK-Vorlagen'!$C$82),"",IF(ISERROR(MATCH(VALUE(MID(G437,1,2)),Schwierigkeitsstufen!$G$7:$G$19,0)),"Gerät falsch",LOOKUP(VALUE(MID(G437,1,2)),Schwierigkeitsstufen!$G$7:$G$19,Schwierigkeitsstufen!$H$7:$H$19)))</f>
        <v/>
      </c>
      <c r="AB437" s="250" t="str">
        <f>IF((($A437="")*($B437=""))+((MID($Y437,1,4)&lt;&gt;"Wahl")*(Deckblatt!$C$14='WK-Vorlagen'!$C$82))+(Deckblatt!$C$14&lt;&gt;'WK-Vorlagen'!$C$82),"",IF(ISERROR(MATCH(VALUE(MID(H437,1,2)),Schwierigkeitsstufen!$G$7:$G$19,0)),"Gerät falsch",LOOKUP(VALUE(MID(H437,1,2)),Schwierigkeitsstufen!$G$7:$G$19,Schwierigkeitsstufen!$H$7:$H$19)))</f>
        <v/>
      </c>
      <c r="AC437" s="250" t="str">
        <f>IF((($A437="")*($B437=""))+((MID($Y437,1,4)&lt;&gt;"Wahl")*(Deckblatt!$C$14='WK-Vorlagen'!$C$82))+(Deckblatt!$C$14&lt;&gt;'WK-Vorlagen'!$C$82),"",IF(ISERROR(MATCH(VALUE(MID(I437,1,2)),Schwierigkeitsstufen!$G$7:$G$19,0)),"Gerät falsch",LOOKUP(VALUE(MID(I437,1,2)),Schwierigkeitsstufen!$G$7:$G$19,Schwierigkeitsstufen!$H$7:$H$19)))</f>
        <v/>
      </c>
      <c r="AD437" s="251" t="str">
        <f>IF((($A437="")*($B437=""))+((MID($Y437,1,4)&lt;&gt;"Wahl")*(Deckblatt!$C$14='WK-Vorlagen'!$C$82))+(Deckblatt!$C$14&lt;&gt;'WK-Vorlagen'!$C$82),"",IF(ISERROR(MATCH(VALUE(MID(J437,1,2)),Schwierigkeitsstufen!$G$7:$G$19,0)),"Gerät falsch",LOOKUP(VALUE(MID(J437,1,2)),Schwierigkeitsstufen!$G$7:$G$19,Schwierigkeitsstufen!$H$7:$H$19)))</f>
        <v/>
      </c>
      <c r="AE437" s="211"/>
      <c r="AG437" s="221" t="str">
        <f t="shared" si="54"/>
        <v/>
      </c>
      <c r="AH437" s="222" t="str">
        <f t="shared" si="56"/>
        <v/>
      </c>
      <c r="AI437" s="220">
        <f t="shared" si="61"/>
        <v>4</v>
      </c>
      <c r="AJ437" s="222">
        <f t="shared" si="57"/>
        <v>0</v>
      </c>
      <c r="AK437" s="299" t="str">
        <f>IF(ISERROR(LOOKUP(E437,WKNrListe,Übersicht!$R$7:$R$46)),"-",LOOKUP(E437,WKNrListe,Übersicht!$R$7:$R$46))</f>
        <v>-</v>
      </c>
      <c r="AL437" s="299" t="str">
        <f t="shared" si="60"/>
        <v>-</v>
      </c>
      <c r="AM437" s="303"/>
      <c r="AN437" s="174" t="str">
        <f t="shared" si="62"/>
        <v>Leer</v>
      </c>
    </row>
    <row r="438" spans="1:40" s="174" customFormat="1" ht="15" customHeight="1">
      <c r="A438" s="63"/>
      <c r="B438" s="63"/>
      <c r="C438" s="84"/>
      <c r="D438" s="85"/>
      <c r="E438" s="62"/>
      <c r="F438" s="62"/>
      <c r="G438" s="62"/>
      <c r="H438" s="62"/>
      <c r="I438" s="62"/>
      <c r="J438" s="62"/>
      <c r="K438" s="62"/>
      <c r="L438" s="62"/>
      <c r="M438" s="62"/>
      <c r="N438" s="62"/>
      <c r="O438" s="62"/>
      <c r="P438" s="62"/>
      <c r="Q438" s="62"/>
      <c r="R438" s="62"/>
      <c r="S438" s="258"/>
      <c r="T438" s="248" t="str">
        <f t="shared" si="58"/>
        <v/>
      </c>
      <c r="U438" s="249" t="str">
        <f t="shared" si="59"/>
        <v/>
      </c>
      <c r="V438" s="294" t="str">
        <f t="shared" si="55"/>
        <v/>
      </c>
      <c r="W438" s="294" t="str">
        <f>IF(((E438="")+(F438="")),"",IF(VLOOKUP(F438,Mannschaften!$A$1:$B$54,2,FALSE)&lt;&gt;E438,"Reiter Mannschaften füllen",""))</f>
        <v/>
      </c>
      <c r="X438" s="248" t="str">
        <f>IF(ISBLANK(C438),"",IF((U438&gt;(LOOKUP(E438,WKNrListe,Übersicht!$O$7:$O$46)))+(U438&lt;(LOOKUP(E438,WKNrListe,Übersicht!$P$7:$P$46))),"JG falsch",""))</f>
        <v/>
      </c>
      <c r="Y438" s="255" t="str">
        <f>IF((A438="")*(B438=""),"",IF(ISERROR(MATCH(E438,WKNrListe,0)),"WK falsch",LOOKUP(E438,WKNrListe,Übersicht!$B$7:$B$46)))</f>
        <v/>
      </c>
      <c r="Z438" s="269" t="str">
        <f>IF(((AJ438=0)*(AH438&lt;&gt;"")*(AK438="-"))+((AJ438&lt;&gt;0)*(AH438&lt;&gt;"")*(AK438="-")),IF(AG438="X",Übersicht!$C$70,Übersicht!$C$69),"-")</f>
        <v>-</v>
      </c>
      <c r="AA438" s="252" t="str">
        <f>IF((($A438="")*($B438=""))+((MID($Y438,1,4)&lt;&gt;"Wahl")*(Deckblatt!$C$14='WK-Vorlagen'!$C$82))+(Deckblatt!$C$14&lt;&gt;'WK-Vorlagen'!$C$82),"",IF(ISERROR(MATCH(VALUE(MID(G438,1,2)),Schwierigkeitsstufen!$G$7:$G$19,0)),"Gerät falsch",LOOKUP(VALUE(MID(G438,1,2)),Schwierigkeitsstufen!$G$7:$G$19,Schwierigkeitsstufen!$H$7:$H$19)))</f>
        <v/>
      </c>
      <c r="AB438" s="250" t="str">
        <f>IF((($A438="")*($B438=""))+((MID($Y438,1,4)&lt;&gt;"Wahl")*(Deckblatt!$C$14='WK-Vorlagen'!$C$82))+(Deckblatt!$C$14&lt;&gt;'WK-Vorlagen'!$C$82),"",IF(ISERROR(MATCH(VALUE(MID(H438,1,2)),Schwierigkeitsstufen!$G$7:$G$19,0)),"Gerät falsch",LOOKUP(VALUE(MID(H438,1,2)),Schwierigkeitsstufen!$G$7:$G$19,Schwierigkeitsstufen!$H$7:$H$19)))</f>
        <v/>
      </c>
      <c r="AC438" s="250" t="str">
        <f>IF((($A438="")*($B438=""))+((MID($Y438,1,4)&lt;&gt;"Wahl")*(Deckblatt!$C$14='WK-Vorlagen'!$C$82))+(Deckblatt!$C$14&lt;&gt;'WK-Vorlagen'!$C$82),"",IF(ISERROR(MATCH(VALUE(MID(I438,1,2)),Schwierigkeitsstufen!$G$7:$G$19,0)),"Gerät falsch",LOOKUP(VALUE(MID(I438,1,2)),Schwierigkeitsstufen!$G$7:$G$19,Schwierigkeitsstufen!$H$7:$H$19)))</f>
        <v/>
      </c>
      <c r="AD438" s="251" t="str">
        <f>IF((($A438="")*($B438=""))+((MID($Y438,1,4)&lt;&gt;"Wahl")*(Deckblatt!$C$14='WK-Vorlagen'!$C$82))+(Deckblatt!$C$14&lt;&gt;'WK-Vorlagen'!$C$82),"",IF(ISERROR(MATCH(VALUE(MID(J438,1,2)),Schwierigkeitsstufen!$G$7:$G$19,0)),"Gerät falsch",LOOKUP(VALUE(MID(J438,1,2)),Schwierigkeitsstufen!$G$7:$G$19,Schwierigkeitsstufen!$H$7:$H$19)))</f>
        <v/>
      </c>
      <c r="AE438" s="211"/>
      <c r="AG438" s="221" t="str">
        <f t="shared" si="54"/>
        <v/>
      </c>
      <c r="AH438" s="222" t="str">
        <f t="shared" si="56"/>
        <v/>
      </c>
      <c r="AI438" s="220">
        <f t="shared" si="61"/>
        <v>4</v>
      </c>
      <c r="AJ438" s="222">
        <f t="shared" si="57"/>
        <v>0</v>
      </c>
      <c r="AK438" s="299" t="str">
        <f>IF(ISERROR(LOOKUP(E438,WKNrListe,Übersicht!$R$7:$R$46)),"-",LOOKUP(E438,WKNrListe,Übersicht!$R$7:$R$46))</f>
        <v>-</v>
      </c>
      <c r="AL438" s="299" t="str">
        <f t="shared" si="60"/>
        <v>-</v>
      </c>
      <c r="AM438" s="303"/>
      <c r="AN438" s="174" t="str">
        <f t="shared" si="62"/>
        <v>Leer</v>
      </c>
    </row>
    <row r="439" spans="1:40" s="174" customFormat="1" ht="15" customHeight="1">
      <c r="A439" s="63"/>
      <c r="B439" s="63"/>
      <c r="C439" s="84"/>
      <c r="D439" s="85"/>
      <c r="E439" s="62"/>
      <c r="F439" s="62"/>
      <c r="G439" s="62"/>
      <c r="H439" s="62"/>
      <c r="I439" s="62"/>
      <c r="J439" s="62"/>
      <c r="K439" s="62"/>
      <c r="L439" s="62"/>
      <c r="M439" s="62"/>
      <c r="N439" s="62"/>
      <c r="O439" s="62"/>
      <c r="P439" s="62"/>
      <c r="Q439" s="62"/>
      <c r="R439" s="62"/>
      <c r="S439" s="258"/>
      <c r="T439" s="248" t="str">
        <f t="shared" si="58"/>
        <v/>
      </c>
      <c r="U439" s="249" t="str">
        <f t="shared" si="59"/>
        <v/>
      </c>
      <c r="V439" s="294" t="str">
        <f t="shared" si="55"/>
        <v/>
      </c>
      <c r="W439" s="294" t="str">
        <f>IF(((E439="")+(F439="")),"",IF(VLOOKUP(F439,Mannschaften!$A$1:$B$54,2,FALSE)&lt;&gt;E439,"Reiter Mannschaften füllen",""))</f>
        <v/>
      </c>
      <c r="X439" s="248" t="str">
        <f>IF(ISBLANK(C439),"",IF((U439&gt;(LOOKUP(E439,WKNrListe,Übersicht!$O$7:$O$46)))+(U439&lt;(LOOKUP(E439,WKNrListe,Übersicht!$P$7:$P$46))),"JG falsch",""))</f>
        <v/>
      </c>
      <c r="Y439" s="255" t="str">
        <f>IF((A439="")*(B439=""),"",IF(ISERROR(MATCH(E439,WKNrListe,0)),"WK falsch",LOOKUP(E439,WKNrListe,Übersicht!$B$7:$B$46)))</f>
        <v/>
      </c>
      <c r="Z439" s="269" t="str">
        <f>IF(((AJ439=0)*(AH439&lt;&gt;"")*(AK439="-"))+((AJ439&lt;&gt;0)*(AH439&lt;&gt;"")*(AK439="-")),IF(AG439="X",Übersicht!$C$70,Übersicht!$C$69),"-")</f>
        <v>-</v>
      </c>
      <c r="AA439" s="252" t="str">
        <f>IF((($A439="")*($B439=""))+((MID($Y439,1,4)&lt;&gt;"Wahl")*(Deckblatt!$C$14='WK-Vorlagen'!$C$82))+(Deckblatt!$C$14&lt;&gt;'WK-Vorlagen'!$C$82),"",IF(ISERROR(MATCH(VALUE(MID(G439,1,2)),Schwierigkeitsstufen!$G$7:$G$19,0)),"Gerät falsch",LOOKUP(VALUE(MID(G439,1,2)),Schwierigkeitsstufen!$G$7:$G$19,Schwierigkeitsstufen!$H$7:$H$19)))</f>
        <v/>
      </c>
      <c r="AB439" s="250" t="str">
        <f>IF((($A439="")*($B439=""))+((MID($Y439,1,4)&lt;&gt;"Wahl")*(Deckblatt!$C$14='WK-Vorlagen'!$C$82))+(Deckblatt!$C$14&lt;&gt;'WK-Vorlagen'!$C$82),"",IF(ISERROR(MATCH(VALUE(MID(H439,1,2)),Schwierigkeitsstufen!$G$7:$G$19,0)),"Gerät falsch",LOOKUP(VALUE(MID(H439,1,2)),Schwierigkeitsstufen!$G$7:$G$19,Schwierigkeitsstufen!$H$7:$H$19)))</f>
        <v/>
      </c>
      <c r="AC439" s="250" t="str">
        <f>IF((($A439="")*($B439=""))+((MID($Y439,1,4)&lt;&gt;"Wahl")*(Deckblatt!$C$14='WK-Vorlagen'!$C$82))+(Deckblatt!$C$14&lt;&gt;'WK-Vorlagen'!$C$82),"",IF(ISERROR(MATCH(VALUE(MID(I439,1,2)),Schwierigkeitsstufen!$G$7:$G$19,0)),"Gerät falsch",LOOKUP(VALUE(MID(I439,1,2)),Schwierigkeitsstufen!$G$7:$G$19,Schwierigkeitsstufen!$H$7:$H$19)))</f>
        <v/>
      </c>
      <c r="AD439" s="251" t="str">
        <f>IF((($A439="")*($B439=""))+((MID($Y439,1,4)&lt;&gt;"Wahl")*(Deckblatt!$C$14='WK-Vorlagen'!$C$82))+(Deckblatt!$C$14&lt;&gt;'WK-Vorlagen'!$C$82),"",IF(ISERROR(MATCH(VALUE(MID(J439,1,2)),Schwierigkeitsstufen!$G$7:$G$19,0)),"Gerät falsch",LOOKUP(VALUE(MID(J439,1,2)),Schwierigkeitsstufen!$G$7:$G$19,Schwierigkeitsstufen!$H$7:$H$19)))</f>
        <v/>
      </c>
      <c r="AE439" s="211"/>
      <c r="AG439" s="221" t="str">
        <f t="shared" si="54"/>
        <v/>
      </c>
      <c r="AH439" s="222" t="str">
        <f t="shared" si="56"/>
        <v/>
      </c>
      <c r="AI439" s="220">
        <f t="shared" si="61"/>
        <v>4</v>
      </c>
      <c r="AJ439" s="222">
        <f t="shared" si="57"/>
        <v>0</v>
      </c>
      <c r="AK439" s="299" t="str">
        <f>IF(ISERROR(LOOKUP(E439,WKNrListe,Übersicht!$R$7:$R$46)),"-",LOOKUP(E439,WKNrListe,Übersicht!$R$7:$R$46))</f>
        <v>-</v>
      </c>
      <c r="AL439" s="299" t="str">
        <f t="shared" si="60"/>
        <v>-</v>
      </c>
      <c r="AM439" s="303"/>
      <c r="AN439" s="174" t="str">
        <f t="shared" si="62"/>
        <v>Leer</v>
      </c>
    </row>
    <row r="440" spans="1:40" s="174" customFormat="1" ht="15" customHeight="1">
      <c r="A440" s="63"/>
      <c r="B440" s="63"/>
      <c r="C440" s="84"/>
      <c r="D440" s="85"/>
      <c r="E440" s="62"/>
      <c r="F440" s="62"/>
      <c r="G440" s="62"/>
      <c r="H440" s="62"/>
      <c r="I440" s="62"/>
      <c r="J440" s="62"/>
      <c r="K440" s="62"/>
      <c r="L440" s="62"/>
      <c r="M440" s="62"/>
      <c r="N440" s="62"/>
      <c r="O440" s="62"/>
      <c r="P440" s="62"/>
      <c r="Q440" s="62"/>
      <c r="R440" s="62"/>
      <c r="S440" s="258"/>
      <c r="T440" s="248" t="str">
        <f t="shared" si="58"/>
        <v/>
      </c>
      <c r="U440" s="249" t="str">
        <f t="shared" si="59"/>
        <v/>
      </c>
      <c r="V440" s="294" t="str">
        <f t="shared" si="55"/>
        <v/>
      </c>
      <c r="W440" s="294" t="str">
        <f>IF(((E440="")+(F440="")),"",IF(VLOOKUP(F440,Mannschaften!$A$1:$B$54,2,FALSE)&lt;&gt;E440,"Reiter Mannschaften füllen",""))</f>
        <v/>
      </c>
      <c r="X440" s="248" t="str">
        <f>IF(ISBLANK(C440),"",IF((U440&gt;(LOOKUP(E440,WKNrListe,Übersicht!$O$7:$O$46)))+(U440&lt;(LOOKUP(E440,WKNrListe,Übersicht!$P$7:$P$46))),"JG falsch",""))</f>
        <v/>
      </c>
      <c r="Y440" s="255" t="str">
        <f>IF((A440="")*(B440=""),"",IF(ISERROR(MATCH(E440,WKNrListe,0)),"WK falsch",LOOKUP(E440,WKNrListe,Übersicht!$B$7:$B$46)))</f>
        <v/>
      </c>
      <c r="Z440" s="269" t="str">
        <f>IF(((AJ440=0)*(AH440&lt;&gt;"")*(AK440="-"))+((AJ440&lt;&gt;0)*(AH440&lt;&gt;"")*(AK440="-")),IF(AG440="X",Übersicht!$C$70,Übersicht!$C$69),"-")</f>
        <v>-</v>
      </c>
      <c r="AA440" s="252" t="str">
        <f>IF((($A440="")*($B440=""))+((MID($Y440,1,4)&lt;&gt;"Wahl")*(Deckblatt!$C$14='WK-Vorlagen'!$C$82))+(Deckblatt!$C$14&lt;&gt;'WK-Vorlagen'!$C$82),"",IF(ISERROR(MATCH(VALUE(MID(G440,1,2)),Schwierigkeitsstufen!$G$7:$G$19,0)),"Gerät falsch",LOOKUP(VALUE(MID(G440,1,2)),Schwierigkeitsstufen!$G$7:$G$19,Schwierigkeitsstufen!$H$7:$H$19)))</f>
        <v/>
      </c>
      <c r="AB440" s="250" t="str">
        <f>IF((($A440="")*($B440=""))+((MID($Y440,1,4)&lt;&gt;"Wahl")*(Deckblatt!$C$14='WK-Vorlagen'!$C$82))+(Deckblatt!$C$14&lt;&gt;'WK-Vorlagen'!$C$82),"",IF(ISERROR(MATCH(VALUE(MID(H440,1,2)),Schwierigkeitsstufen!$G$7:$G$19,0)),"Gerät falsch",LOOKUP(VALUE(MID(H440,1,2)),Schwierigkeitsstufen!$G$7:$G$19,Schwierigkeitsstufen!$H$7:$H$19)))</f>
        <v/>
      </c>
      <c r="AC440" s="250" t="str">
        <f>IF((($A440="")*($B440=""))+((MID($Y440,1,4)&lt;&gt;"Wahl")*(Deckblatt!$C$14='WK-Vorlagen'!$C$82))+(Deckblatt!$C$14&lt;&gt;'WK-Vorlagen'!$C$82),"",IF(ISERROR(MATCH(VALUE(MID(I440,1,2)),Schwierigkeitsstufen!$G$7:$G$19,0)),"Gerät falsch",LOOKUP(VALUE(MID(I440,1,2)),Schwierigkeitsstufen!$G$7:$G$19,Schwierigkeitsstufen!$H$7:$H$19)))</f>
        <v/>
      </c>
      <c r="AD440" s="251" t="str">
        <f>IF((($A440="")*($B440=""))+((MID($Y440,1,4)&lt;&gt;"Wahl")*(Deckblatt!$C$14='WK-Vorlagen'!$C$82))+(Deckblatt!$C$14&lt;&gt;'WK-Vorlagen'!$C$82),"",IF(ISERROR(MATCH(VALUE(MID(J440,1,2)),Schwierigkeitsstufen!$G$7:$G$19,0)),"Gerät falsch",LOOKUP(VALUE(MID(J440,1,2)),Schwierigkeitsstufen!$G$7:$G$19,Schwierigkeitsstufen!$H$7:$H$19)))</f>
        <v/>
      </c>
      <c r="AE440" s="211"/>
      <c r="AG440" s="221" t="str">
        <f t="shared" si="54"/>
        <v/>
      </c>
      <c r="AH440" s="222" t="str">
        <f t="shared" si="56"/>
        <v/>
      </c>
      <c r="AI440" s="220">
        <f t="shared" si="61"/>
        <v>4</v>
      </c>
      <c r="AJ440" s="222">
        <f t="shared" si="57"/>
        <v>0</v>
      </c>
      <c r="AK440" s="299" t="str">
        <f>IF(ISERROR(LOOKUP(E440,WKNrListe,Übersicht!$R$7:$R$46)),"-",LOOKUP(E440,WKNrListe,Übersicht!$R$7:$R$46))</f>
        <v>-</v>
      </c>
      <c r="AL440" s="299" t="str">
        <f t="shared" si="60"/>
        <v>-</v>
      </c>
      <c r="AM440" s="303"/>
      <c r="AN440" s="174" t="str">
        <f t="shared" si="62"/>
        <v>Leer</v>
      </c>
    </row>
    <row r="441" spans="1:40" s="174" customFormat="1" ht="15" customHeight="1">
      <c r="A441" s="63"/>
      <c r="B441" s="63"/>
      <c r="C441" s="84"/>
      <c r="D441" s="85"/>
      <c r="E441" s="62"/>
      <c r="F441" s="62"/>
      <c r="G441" s="62"/>
      <c r="H441" s="62"/>
      <c r="I441" s="62"/>
      <c r="J441" s="62"/>
      <c r="K441" s="62"/>
      <c r="L441" s="62"/>
      <c r="M441" s="62"/>
      <c r="N441" s="62"/>
      <c r="O441" s="62"/>
      <c r="P441" s="62"/>
      <c r="Q441" s="62"/>
      <c r="R441" s="62"/>
      <c r="S441" s="258"/>
      <c r="T441" s="248" t="str">
        <f t="shared" si="58"/>
        <v/>
      </c>
      <c r="U441" s="249" t="str">
        <f t="shared" si="59"/>
        <v/>
      </c>
      <c r="V441" s="294" t="str">
        <f t="shared" si="55"/>
        <v/>
      </c>
      <c r="W441" s="294" t="str">
        <f>IF(((E441="")+(F441="")),"",IF(VLOOKUP(F441,Mannschaften!$A$1:$B$54,2,FALSE)&lt;&gt;E441,"Reiter Mannschaften füllen",""))</f>
        <v/>
      </c>
      <c r="X441" s="248" t="str">
        <f>IF(ISBLANK(C441),"",IF((U441&gt;(LOOKUP(E441,WKNrListe,Übersicht!$O$7:$O$46)))+(U441&lt;(LOOKUP(E441,WKNrListe,Übersicht!$P$7:$P$46))),"JG falsch",""))</f>
        <v/>
      </c>
      <c r="Y441" s="255" t="str">
        <f>IF((A441="")*(B441=""),"",IF(ISERROR(MATCH(E441,WKNrListe,0)),"WK falsch",LOOKUP(E441,WKNrListe,Übersicht!$B$7:$B$46)))</f>
        <v/>
      </c>
      <c r="Z441" s="269" t="str">
        <f>IF(((AJ441=0)*(AH441&lt;&gt;"")*(AK441="-"))+((AJ441&lt;&gt;0)*(AH441&lt;&gt;"")*(AK441="-")),IF(AG441="X",Übersicht!$C$70,Übersicht!$C$69),"-")</f>
        <v>-</v>
      </c>
      <c r="AA441" s="252" t="str">
        <f>IF((($A441="")*($B441=""))+((MID($Y441,1,4)&lt;&gt;"Wahl")*(Deckblatt!$C$14='WK-Vorlagen'!$C$82))+(Deckblatt!$C$14&lt;&gt;'WK-Vorlagen'!$C$82),"",IF(ISERROR(MATCH(VALUE(MID(G441,1,2)),Schwierigkeitsstufen!$G$7:$G$19,0)),"Gerät falsch",LOOKUP(VALUE(MID(G441,1,2)),Schwierigkeitsstufen!$G$7:$G$19,Schwierigkeitsstufen!$H$7:$H$19)))</f>
        <v/>
      </c>
      <c r="AB441" s="250" t="str">
        <f>IF((($A441="")*($B441=""))+((MID($Y441,1,4)&lt;&gt;"Wahl")*(Deckblatt!$C$14='WK-Vorlagen'!$C$82))+(Deckblatt!$C$14&lt;&gt;'WK-Vorlagen'!$C$82),"",IF(ISERROR(MATCH(VALUE(MID(H441,1,2)),Schwierigkeitsstufen!$G$7:$G$19,0)),"Gerät falsch",LOOKUP(VALUE(MID(H441,1,2)),Schwierigkeitsstufen!$G$7:$G$19,Schwierigkeitsstufen!$H$7:$H$19)))</f>
        <v/>
      </c>
      <c r="AC441" s="250" t="str">
        <f>IF((($A441="")*($B441=""))+((MID($Y441,1,4)&lt;&gt;"Wahl")*(Deckblatt!$C$14='WK-Vorlagen'!$C$82))+(Deckblatt!$C$14&lt;&gt;'WK-Vorlagen'!$C$82),"",IF(ISERROR(MATCH(VALUE(MID(I441,1,2)),Schwierigkeitsstufen!$G$7:$G$19,0)),"Gerät falsch",LOOKUP(VALUE(MID(I441,1,2)),Schwierigkeitsstufen!$G$7:$G$19,Schwierigkeitsstufen!$H$7:$H$19)))</f>
        <v/>
      </c>
      <c r="AD441" s="251" t="str">
        <f>IF((($A441="")*($B441=""))+((MID($Y441,1,4)&lt;&gt;"Wahl")*(Deckblatt!$C$14='WK-Vorlagen'!$C$82))+(Deckblatt!$C$14&lt;&gt;'WK-Vorlagen'!$C$82),"",IF(ISERROR(MATCH(VALUE(MID(J441,1,2)),Schwierigkeitsstufen!$G$7:$G$19,0)),"Gerät falsch",LOOKUP(VALUE(MID(J441,1,2)),Schwierigkeitsstufen!$G$7:$G$19,Schwierigkeitsstufen!$H$7:$H$19)))</f>
        <v/>
      </c>
      <c r="AE441" s="211"/>
      <c r="AG441" s="221" t="str">
        <f t="shared" si="54"/>
        <v/>
      </c>
      <c r="AH441" s="222" t="str">
        <f t="shared" si="56"/>
        <v/>
      </c>
      <c r="AI441" s="220">
        <f t="shared" si="61"/>
        <v>4</v>
      </c>
      <c r="AJ441" s="222">
        <f t="shared" si="57"/>
        <v>0</v>
      </c>
      <c r="AK441" s="299" t="str">
        <f>IF(ISERROR(LOOKUP(E441,WKNrListe,Übersicht!$R$7:$R$46)),"-",LOOKUP(E441,WKNrListe,Übersicht!$R$7:$R$46))</f>
        <v>-</v>
      </c>
      <c r="AL441" s="299" t="str">
        <f t="shared" si="60"/>
        <v>-</v>
      </c>
      <c r="AM441" s="303"/>
      <c r="AN441" s="174" t="str">
        <f t="shared" si="62"/>
        <v>Leer</v>
      </c>
    </row>
    <row r="442" spans="1:40" s="174" customFormat="1" ht="15" customHeight="1">
      <c r="A442" s="63"/>
      <c r="B442" s="63"/>
      <c r="C442" s="84"/>
      <c r="D442" s="85"/>
      <c r="E442" s="62"/>
      <c r="F442" s="62"/>
      <c r="G442" s="62"/>
      <c r="H442" s="62"/>
      <c r="I442" s="62"/>
      <c r="J442" s="62"/>
      <c r="K442" s="62"/>
      <c r="L442" s="62"/>
      <c r="M442" s="62"/>
      <c r="N442" s="62"/>
      <c r="O442" s="62"/>
      <c r="P442" s="62"/>
      <c r="Q442" s="62"/>
      <c r="R442" s="62"/>
      <c r="S442" s="258"/>
      <c r="T442" s="248" t="str">
        <f t="shared" si="58"/>
        <v/>
      </c>
      <c r="U442" s="249" t="str">
        <f t="shared" si="59"/>
        <v/>
      </c>
      <c r="V442" s="294" t="str">
        <f t="shared" si="55"/>
        <v/>
      </c>
      <c r="W442" s="294" t="str">
        <f>IF(((E442="")+(F442="")),"",IF(VLOOKUP(F442,Mannschaften!$A$1:$B$54,2,FALSE)&lt;&gt;E442,"Reiter Mannschaften füllen",""))</f>
        <v/>
      </c>
      <c r="X442" s="248" t="str">
        <f>IF(ISBLANK(C442),"",IF((U442&gt;(LOOKUP(E442,WKNrListe,Übersicht!$O$7:$O$46)))+(U442&lt;(LOOKUP(E442,WKNrListe,Übersicht!$P$7:$P$46))),"JG falsch",""))</f>
        <v/>
      </c>
      <c r="Y442" s="255" t="str">
        <f>IF((A442="")*(B442=""),"",IF(ISERROR(MATCH(E442,WKNrListe,0)),"WK falsch",LOOKUP(E442,WKNrListe,Übersicht!$B$7:$B$46)))</f>
        <v/>
      </c>
      <c r="Z442" s="269" t="str">
        <f>IF(((AJ442=0)*(AH442&lt;&gt;"")*(AK442="-"))+((AJ442&lt;&gt;0)*(AH442&lt;&gt;"")*(AK442="-")),IF(AG442="X",Übersicht!$C$70,Übersicht!$C$69),"-")</f>
        <v>-</v>
      </c>
      <c r="AA442" s="252" t="str">
        <f>IF((($A442="")*($B442=""))+((MID($Y442,1,4)&lt;&gt;"Wahl")*(Deckblatt!$C$14='WK-Vorlagen'!$C$82))+(Deckblatt!$C$14&lt;&gt;'WK-Vorlagen'!$C$82),"",IF(ISERROR(MATCH(VALUE(MID(G442,1,2)),Schwierigkeitsstufen!$G$7:$G$19,0)),"Gerät falsch",LOOKUP(VALUE(MID(G442,1,2)),Schwierigkeitsstufen!$G$7:$G$19,Schwierigkeitsstufen!$H$7:$H$19)))</f>
        <v/>
      </c>
      <c r="AB442" s="250" t="str">
        <f>IF((($A442="")*($B442=""))+((MID($Y442,1,4)&lt;&gt;"Wahl")*(Deckblatt!$C$14='WK-Vorlagen'!$C$82))+(Deckblatt!$C$14&lt;&gt;'WK-Vorlagen'!$C$82),"",IF(ISERROR(MATCH(VALUE(MID(H442,1,2)),Schwierigkeitsstufen!$G$7:$G$19,0)),"Gerät falsch",LOOKUP(VALUE(MID(H442,1,2)),Schwierigkeitsstufen!$G$7:$G$19,Schwierigkeitsstufen!$H$7:$H$19)))</f>
        <v/>
      </c>
      <c r="AC442" s="250" t="str">
        <f>IF((($A442="")*($B442=""))+((MID($Y442,1,4)&lt;&gt;"Wahl")*(Deckblatt!$C$14='WK-Vorlagen'!$C$82))+(Deckblatt!$C$14&lt;&gt;'WK-Vorlagen'!$C$82),"",IF(ISERROR(MATCH(VALUE(MID(I442,1,2)),Schwierigkeitsstufen!$G$7:$G$19,0)),"Gerät falsch",LOOKUP(VALUE(MID(I442,1,2)),Schwierigkeitsstufen!$G$7:$G$19,Schwierigkeitsstufen!$H$7:$H$19)))</f>
        <v/>
      </c>
      <c r="AD442" s="251" t="str">
        <f>IF((($A442="")*($B442=""))+((MID($Y442,1,4)&lt;&gt;"Wahl")*(Deckblatt!$C$14='WK-Vorlagen'!$C$82))+(Deckblatt!$C$14&lt;&gt;'WK-Vorlagen'!$C$82),"",IF(ISERROR(MATCH(VALUE(MID(J442,1,2)),Schwierigkeitsstufen!$G$7:$G$19,0)),"Gerät falsch",LOOKUP(VALUE(MID(J442,1,2)),Schwierigkeitsstufen!$G$7:$G$19,Schwierigkeitsstufen!$H$7:$H$19)))</f>
        <v/>
      </c>
      <c r="AE442" s="211"/>
      <c r="AG442" s="221" t="str">
        <f t="shared" si="54"/>
        <v/>
      </c>
      <c r="AH442" s="222" t="str">
        <f t="shared" si="56"/>
        <v/>
      </c>
      <c r="AI442" s="220">
        <f t="shared" si="61"/>
        <v>4</v>
      </c>
      <c r="AJ442" s="222">
        <f t="shared" si="57"/>
        <v>0</v>
      </c>
      <c r="AK442" s="299" t="str">
        <f>IF(ISERROR(LOOKUP(E442,WKNrListe,Übersicht!$R$7:$R$46)),"-",LOOKUP(E442,WKNrListe,Übersicht!$R$7:$R$46))</f>
        <v>-</v>
      </c>
      <c r="AL442" s="299" t="str">
        <f t="shared" si="60"/>
        <v>-</v>
      </c>
      <c r="AM442" s="303"/>
      <c r="AN442" s="174" t="str">
        <f t="shared" si="62"/>
        <v>Leer</v>
      </c>
    </row>
    <row r="443" spans="1:40" s="174" customFormat="1" ht="15" customHeight="1">
      <c r="A443" s="63"/>
      <c r="B443" s="63"/>
      <c r="C443" s="84"/>
      <c r="D443" s="85"/>
      <c r="E443" s="62"/>
      <c r="F443" s="62"/>
      <c r="G443" s="62"/>
      <c r="H443" s="62"/>
      <c r="I443" s="62"/>
      <c r="J443" s="62"/>
      <c r="K443" s="62"/>
      <c r="L443" s="62"/>
      <c r="M443" s="62"/>
      <c r="N443" s="62"/>
      <c r="O443" s="62"/>
      <c r="P443" s="62"/>
      <c r="Q443" s="62"/>
      <c r="R443" s="62"/>
      <c r="S443" s="258"/>
      <c r="T443" s="248" t="str">
        <f t="shared" si="58"/>
        <v/>
      </c>
      <c r="U443" s="249" t="str">
        <f t="shared" si="59"/>
        <v/>
      </c>
      <c r="V443" s="294" t="str">
        <f t="shared" si="55"/>
        <v/>
      </c>
      <c r="W443" s="294" t="str">
        <f>IF(((E443="")+(F443="")),"",IF(VLOOKUP(F443,Mannschaften!$A$1:$B$54,2,FALSE)&lt;&gt;E443,"Reiter Mannschaften füllen",""))</f>
        <v/>
      </c>
      <c r="X443" s="248" t="str">
        <f>IF(ISBLANK(C443),"",IF((U443&gt;(LOOKUP(E443,WKNrListe,Übersicht!$O$7:$O$46)))+(U443&lt;(LOOKUP(E443,WKNrListe,Übersicht!$P$7:$P$46))),"JG falsch",""))</f>
        <v/>
      </c>
      <c r="Y443" s="255" t="str">
        <f>IF((A443="")*(B443=""),"",IF(ISERROR(MATCH(E443,WKNrListe,0)),"WK falsch",LOOKUP(E443,WKNrListe,Übersicht!$B$7:$B$46)))</f>
        <v/>
      </c>
      <c r="Z443" s="269" t="str">
        <f>IF(((AJ443=0)*(AH443&lt;&gt;"")*(AK443="-"))+((AJ443&lt;&gt;0)*(AH443&lt;&gt;"")*(AK443="-")),IF(AG443="X",Übersicht!$C$70,Übersicht!$C$69),"-")</f>
        <v>-</v>
      </c>
      <c r="AA443" s="252" t="str">
        <f>IF((($A443="")*($B443=""))+((MID($Y443,1,4)&lt;&gt;"Wahl")*(Deckblatt!$C$14='WK-Vorlagen'!$C$82))+(Deckblatt!$C$14&lt;&gt;'WK-Vorlagen'!$C$82),"",IF(ISERROR(MATCH(VALUE(MID(G443,1,2)),Schwierigkeitsstufen!$G$7:$G$19,0)),"Gerät falsch",LOOKUP(VALUE(MID(G443,1,2)),Schwierigkeitsstufen!$G$7:$G$19,Schwierigkeitsstufen!$H$7:$H$19)))</f>
        <v/>
      </c>
      <c r="AB443" s="250" t="str">
        <f>IF((($A443="")*($B443=""))+((MID($Y443,1,4)&lt;&gt;"Wahl")*(Deckblatt!$C$14='WK-Vorlagen'!$C$82))+(Deckblatt!$C$14&lt;&gt;'WK-Vorlagen'!$C$82),"",IF(ISERROR(MATCH(VALUE(MID(H443,1,2)),Schwierigkeitsstufen!$G$7:$G$19,0)),"Gerät falsch",LOOKUP(VALUE(MID(H443,1,2)),Schwierigkeitsstufen!$G$7:$G$19,Schwierigkeitsstufen!$H$7:$H$19)))</f>
        <v/>
      </c>
      <c r="AC443" s="250" t="str">
        <f>IF((($A443="")*($B443=""))+((MID($Y443,1,4)&lt;&gt;"Wahl")*(Deckblatt!$C$14='WK-Vorlagen'!$C$82))+(Deckblatt!$C$14&lt;&gt;'WK-Vorlagen'!$C$82),"",IF(ISERROR(MATCH(VALUE(MID(I443,1,2)),Schwierigkeitsstufen!$G$7:$G$19,0)),"Gerät falsch",LOOKUP(VALUE(MID(I443,1,2)),Schwierigkeitsstufen!$G$7:$G$19,Schwierigkeitsstufen!$H$7:$H$19)))</f>
        <v/>
      </c>
      <c r="AD443" s="251" t="str">
        <f>IF((($A443="")*($B443=""))+((MID($Y443,1,4)&lt;&gt;"Wahl")*(Deckblatt!$C$14='WK-Vorlagen'!$C$82))+(Deckblatt!$C$14&lt;&gt;'WK-Vorlagen'!$C$82),"",IF(ISERROR(MATCH(VALUE(MID(J443,1,2)),Schwierigkeitsstufen!$G$7:$G$19,0)),"Gerät falsch",LOOKUP(VALUE(MID(J443,1,2)),Schwierigkeitsstufen!$G$7:$G$19,Schwierigkeitsstufen!$H$7:$H$19)))</f>
        <v/>
      </c>
      <c r="AE443" s="211"/>
      <c r="AG443" s="221" t="str">
        <f t="shared" si="54"/>
        <v/>
      </c>
      <c r="AH443" s="222" t="str">
        <f t="shared" si="56"/>
        <v/>
      </c>
      <c r="AI443" s="220">
        <f t="shared" si="61"/>
        <v>4</v>
      </c>
      <c r="AJ443" s="222">
        <f t="shared" si="57"/>
        <v>0</v>
      </c>
      <c r="AK443" s="299" t="str">
        <f>IF(ISERROR(LOOKUP(E443,WKNrListe,Übersicht!$R$7:$R$46)),"-",LOOKUP(E443,WKNrListe,Übersicht!$R$7:$R$46))</f>
        <v>-</v>
      </c>
      <c r="AL443" s="299" t="str">
        <f t="shared" si="60"/>
        <v>-</v>
      </c>
      <c r="AM443" s="303"/>
      <c r="AN443" s="174" t="str">
        <f t="shared" si="62"/>
        <v>Leer</v>
      </c>
    </row>
    <row r="444" spans="1:40" s="174" customFormat="1" ht="15" customHeight="1">
      <c r="A444" s="63"/>
      <c r="B444" s="63"/>
      <c r="C444" s="84"/>
      <c r="D444" s="85"/>
      <c r="E444" s="62"/>
      <c r="F444" s="62"/>
      <c r="G444" s="62"/>
      <c r="H444" s="62"/>
      <c r="I444" s="62"/>
      <c r="J444" s="62"/>
      <c r="K444" s="62"/>
      <c r="L444" s="62"/>
      <c r="M444" s="62"/>
      <c r="N444" s="62"/>
      <c r="O444" s="62"/>
      <c r="P444" s="62"/>
      <c r="Q444" s="62"/>
      <c r="R444" s="62"/>
      <c r="S444" s="258"/>
      <c r="T444" s="248" t="str">
        <f t="shared" si="58"/>
        <v/>
      </c>
      <c r="U444" s="249" t="str">
        <f t="shared" si="59"/>
        <v/>
      </c>
      <c r="V444" s="294" t="str">
        <f t="shared" si="55"/>
        <v/>
      </c>
      <c r="W444" s="294" t="str">
        <f>IF(((E444="")+(F444="")),"",IF(VLOOKUP(F444,Mannschaften!$A$1:$B$54,2,FALSE)&lt;&gt;E444,"Reiter Mannschaften füllen",""))</f>
        <v/>
      </c>
      <c r="X444" s="248" t="str">
        <f>IF(ISBLANK(C444),"",IF((U444&gt;(LOOKUP(E444,WKNrListe,Übersicht!$O$7:$O$46)))+(U444&lt;(LOOKUP(E444,WKNrListe,Übersicht!$P$7:$P$46))),"JG falsch",""))</f>
        <v/>
      </c>
      <c r="Y444" s="255" t="str">
        <f>IF((A444="")*(B444=""),"",IF(ISERROR(MATCH(E444,WKNrListe,0)),"WK falsch",LOOKUP(E444,WKNrListe,Übersicht!$B$7:$B$46)))</f>
        <v/>
      </c>
      <c r="Z444" s="269" t="str">
        <f>IF(((AJ444=0)*(AH444&lt;&gt;"")*(AK444="-"))+((AJ444&lt;&gt;0)*(AH444&lt;&gt;"")*(AK444="-")),IF(AG444="X",Übersicht!$C$70,Übersicht!$C$69),"-")</f>
        <v>-</v>
      </c>
      <c r="AA444" s="252" t="str">
        <f>IF((($A444="")*($B444=""))+((MID($Y444,1,4)&lt;&gt;"Wahl")*(Deckblatt!$C$14='WK-Vorlagen'!$C$82))+(Deckblatt!$C$14&lt;&gt;'WK-Vorlagen'!$C$82),"",IF(ISERROR(MATCH(VALUE(MID(G444,1,2)),Schwierigkeitsstufen!$G$7:$G$19,0)),"Gerät falsch",LOOKUP(VALUE(MID(G444,1,2)),Schwierigkeitsstufen!$G$7:$G$19,Schwierigkeitsstufen!$H$7:$H$19)))</f>
        <v/>
      </c>
      <c r="AB444" s="250" t="str">
        <f>IF((($A444="")*($B444=""))+((MID($Y444,1,4)&lt;&gt;"Wahl")*(Deckblatt!$C$14='WK-Vorlagen'!$C$82))+(Deckblatt!$C$14&lt;&gt;'WK-Vorlagen'!$C$82),"",IF(ISERROR(MATCH(VALUE(MID(H444,1,2)),Schwierigkeitsstufen!$G$7:$G$19,0)),"Gerät falsch",LOOKUP(VALUE(MID(H444,1,2)),Schwierigkeitsstufen!$G$7:$G$19,Schwierigkeitsstufen!$H$7:$H$19)))</f>
        <v/>
      </c>
      <c r="AC444" s="250" t="str">
        <f>IF((($A444="")*($B444=""))+((MID($Y444,1,4)&lt;&gt;"Wahl")*(Deckblatt!$C$14='WK-Vorlagen'!$C$82))+(Deckblatt!$C$14&lt;&gt;'WK-Vorlagen'!$C$82),"",IF(ISERROR(MATCH(VALUE(MID(I444,1,2)),Schwierigkeitsstufen!$G$7:$G$19,0)),"Gerät falsch",LOOKUP(VALUE(MID(I444,1,2)),Schwierigkeitsstufen!$G$7:$G$19,Schwierigkeitsstufen!$H$7:$H$19)))</f>
        <v/>
      </c>
      <c r="AD444" s="251" t="str">
        <f>IF((($A444="")*($B444=""))+((MID($Y444,1,4)&lt;&gt;"Wahl")*(Deckblatt!$C$14='WK-Vorlagen'!$C$82))+(Deckblatt!$C$14&lt;&gt;'WK-Vorlagen'!$C$82),"",IF(ISERROR(MATCH(VALUE(MID(J444,1,2)),Schwierigkeitsstufen!$G$7:$G$19,0)),"Gerät falsch",LOOKUP(VALUE(MID(J444,1,2)),Schwierigkeitsstufen!$G$7:$G$19,Schwierigkeitsstufen!$H$7:$H$19)))</f>
        <v/>
      </c>
      <c r="AE444" s="211"/>
      <c r="AG444" s="221" t="str">
        <f t="shared" si="54"/>
        <v/>
      </c>
      <c r="AH444" s="222" t="str">
        <f t="shared" si="56"/>
        <v/>
      </c>
      <c r="AI444" s="220">
        <f t="shared" si="61"/>
        <v>4</v>
      </c>
      <c r="AJ444" s="222">
        <f t="shared" si="57"/>
        <v>0</v>
      </c>
      <c r="AK444" s="299" t="str">
        <f>IF(ISERROR(LOOKUP(E444,WKNrListe,Übersicht!$R$7:$R$46)),"-",LOOKUP(E444,WKNrListe,Übersicht!$R$7:$R$46))</f>
        <v>-</v>
      </c>
      <c r="AL444" s="299" t="str">
        <f t="shared" si="60"/>
        <v>-</v>
      </c>
      <c r="AM444" s="303"/>
      <c r="AN444" s="174" t="str">
        <f t="shared" si="62"/>
        <v>Leer</v>
      </c>
    </row>
    <row r="445" spans="1:40" s="174" customFormat="1" ht="15" customHeight="1">
      <c r="A445" s="63"/>
      <c r="B445" s="63"/>
      <c r="C445" s="84"/>
      <c r="D445" s="85"/>
      <c r="E445" s="62"/>
      <c r="F445" s="62"/>
      <c r="G445" s="62"/>
      <c r="H445" s="62"/>
      <c r="I445" s="62"/>
      <c r="J445" s="62"/>
      <c r="K445" s="62"/>
      <c r="L445" s="62"/>
      <c r="M445" s="62"/>
      <c r="N445" s="62"/>
      <c r="O445" s="62"/>
      <c r="P445" s="62"/>
      <c r="Q445" s="62"/>
      <c r="R445" s="62"/>
      <c r="S445" s="258"/>
      <c r="T445" s="248" t="str">
        <f t="shared" si="58"/>
        <v/>
      </c>
      <c r="U445" s="249" t="str">
        <f t="shared" si="59"/>
        <v/>
      </c>
      <c r="V445" s="294" t="str">
        <f t="shared" si="55"/>
        <v/>
      </c>
      <c r="W445" s="294" t="str">
        <f>IF(((E445="")+(F445="")),"",IF(VLOOKUP(F445,Mannschaften!$A$1:$B$54,2,FALSE)&lt;&gt;E445,"Reiter Mannschaften füllen",""))</f>
        <v/>
      </c>
      <c r="X445" s="248" t="str">
        <f>IF(ISBLANK(C445),"",IF((U445&gt;(LOOKUP(E445,WKNrListe,Übersicht!$O$7:$O$46)))+(U445&lt;(LOOKUP(E445,WKNrListe,Übersicht!$P$7:$P$46))),"JG falsch",""))</f>
        <v/>
      </c>
      <c r="Y445" s="255" t="str">
        <f>IF((A445="")*(B445=""),"",IF(ISERROR(MATCH(E445,WKNrListe,0)),"WK falsch",LOOKUP(E445,WKNrListe,Übersicht!$B$7:$B$46)))</f>
        <v/>
      </c>
      <c r="Z445" s="269" t="str">
        <f>IF(((AJ445=0)*(AH445&lt;&gt;"")*(AK445="-"))+((AJ445&lt;&gt;0)*(AH445&lt;&gt;"")*(AK445="-")),IF(AG445="X",Übersicht!$C$70,Übersicht!$C$69),"-")</f>
        <v>-</v>
      </c>
      <c r="AA445" s="252" t="str">
        <f>IF((($A445="")*($B445=""))+((MID($Y445,1,4)&lt;&gt;"Wahl")*(Deckblatt!$C$14='WK-Vorlagen'!$C$82))+(Deckblatt!$C$14&lt;&gt;'WK-Vorlagen'!$C$82),"",IF(ISERROR(MATCH(VALUE(MID(G445,1,2)),Schwierigkeitsstufen!$G$7:$G$19,0)),"Gerät falsch",LOOKUP(VALUE(MID(G445,1,2)),Schwierigkeitsstufen!$G$7:$G$19,Schwierigkeitsstufen!$H$7:$H$19)))</f>
        <v/>
      </c>
      <c r="AB445" s="250" t="str">
        <f>IF((($A445="")*($B445=""))+((MID($Y445,1,4)&lt;&gt;"Wahl")*(Deckblatt!$C$14='WK-Vorlagen'!$C$82))+(Deckblatt!$C$14&lt;&gt;'WK-Vorlagen'!$C$82),"",IF(ISERROR(MATCH(VALUE(MID(H445,1,2)),Schwierigkeitsstufen!$G$7:$G$19,0)),"Gerät falsch",LOOKUP(VALUE(MID(H445,1,2)),Schwierigkeitsstufen!$G$7:$G$19,Schwierigkeitsstufen!$H$7:$H$19)))</f>
        <v/>
      </c>
      <c r="AC445" s="250" t="str">
        <f>IF((($A445="")*($B445=""))+((MID($Y445,1,4)&lt;&gt;"Wahl")*(Deckblatt!$C$14='WK-Vorlagen'!$C$82))+(Deckblatt!$C$14&lt;&gt;'WK-Vorlagen'!$C$82),"",IF(ISERROR(MATCH(VALUE(MID(I445,1,2)),Schwierigkeitsstufen!$G$7:$G$19,0)),"Gerät falsch",LOOKUP(VALUE(MID(I445,1,2)),Schwierigkeitsstufen!$G$7:$G$19,Schwierigkeitsstufen!$H$7:$H$19)))</f>
        <v/>
      </c>
      <c r="AD445" s="251" t="str">
        <f>IF((($A445="")*($B445=""))+((MID($Y445,1,4)&lt;&gt;"Wahl")*(Deckblatt!$C$14='WK-Vorlagen'!$C$82))+(Deckblatt!$C$14&lt;&gt;'WK-Vorlagen'!$C$82),"",IF(ISERROR(MATCH(VALUE(MID(J445,1,2)),Schwierigkeitsstufen!$G$7:$G$19,0)),"Gerät falsch",LOOKUP(VALUE(MID(J445,1,2)),Schwierigkeitsstufen!$G$7:$G$19,Schwierigkeitsstufen!$H$7:$H$19)))</f>
        <v/>
      </c>
      <c r="AE445" s="211"/>
      <c r="AG445" s="221" t="str">
        <f t="shared" si="54"/>
        <v/>
      </c>
      <c r="AH445" s="222" t="str">
        <f t="shared" si="56"/>
        <v/>
      </c>
      <c r="AI445" s="220">
        <f t="shared" si="61"/>
        <v>4</v>
      </c>
      <c r="AJ445" s="222">
        <f t="shared" si="57"/>
        <v>0</v>
      </c>
      <c r="AK445" s="299" t="str">
        <f>IF(ISERROR(LOOKUP(E445,WKNrListe,Übersicht!$R$7:$R$46)),"-",LOOKUP(E445,WKNrListe,Übersicht!$R$7:$R$46))</f>
        <v>-</v>
      </c>
      <c r="AL445" s="299" t="str">
        <f t="shared" si="60"/>
        <v>-</v>
      </c>
      <c r="AM445" s="303"/>
      <c r="AN445" s="174" t="str">
        <f t="shared" si="62"/>
        <v>Leer</v>
      </c>
    </row>
    <row r="446" spans="1:40" s="174" customFormat="1" ht="15" customHeight="1">
      <c r="A446" s="63"/>
      <c r="B446" s="63"/>
      <c r="C446" s="84"/>
      <c r="D446" s="85"/>
      <c r="E446" s="62"/>
      <c r="F446" s="62"/>
      <c r="G446" s="62"/>
      <c r="H446" s="62"/>
      <c r="I446" s="62"/>
      <c r="J446" s="62"/>
      <c r="K446" s="62"/>
      <c r="L446" s="62"/>
      <c r="M446" s="62"/>
      <c r="N446" s="62"/>
      <c r="O446" s="62"/>
      <c r="P446" s="62"/>
      <c r="Q446" s="62"/>
      <c r="R446" s="62"/>
      <c r="S446" s="258"/>
      <c r="T446" s="248" t="str">
        <f t="shared" si="58"/>
        <v/>
      </c>
      <c r="U446" s="249" t="str">
        <f t="shared" si="59"/>
        <v/>
      </c>
      <c r="V446" s="294" t="str">
        <f t="shared" si="55"/>
        <v/>
      </c>
      <c r="W446" s="294" t="str">
        <f>IF(((E446="")+(F446="")),"",IF(VLOOKUP(F446,Mannschaften!$A$1:$B$54,2,FALSE)&lt;&gt;E446,"Reiter Mannschaften füllen",""))</f>
        <v/>
      </c>
      <c r="X446" s="248" t="str">
        <f>IF(ISBLANK(C446),"",IF((U446&gt;(LOOKUP(E446,WKNrListe,Übersicht!$O$7:$O$46)))+(U446&lt;(LOOKUP(E446,WKNrListe,Übersicht!$P$7:$P$46))),"JG falsch",""))</f>
        <v/>
      </c>
      <c r="Y446" s="255" t="str">
        <f>IF((A446="")*(B446=""),"",IF(ISERROR(MATCH(E446,WKNrListe,0)),"WK falsch",LOOKUP(E446,WKNrListe,Übersicht!$B$7:$B$46)))</f>
        <v/>
      </c>
      <c r="Z446" s="269" t="str">
        <f>IF(((AJ446=0)*(AH446&lt;&gt;"")*(AK446="-"))+((AJ446&lt;&gt;0)*(AH446&lt;&gt;"")*(AK446="-")),IF(AG446="X",Übersicht!$C$70,Übersicht!$C$69),"-")</f>
        <v>-</v>
      </c>
      <c r="AA446" s="252" t="str">
        <f>IF((($A446="")*($B446=""))+((MID($Y446,1,4)&lt;&gt;"Wahl")*(Deckblatt!$C$14='WK-Vorlagen'!$C$82))+(Deckblatt!$C$14&lt;&gt;'WK-Vorlagen'!$C$82),"",IF(ISERROR(MATCH(VALUE(MID(G446,1,2)),Schwierigkeitsstufen!$G$7:$G$19,0)),"Gerät falsch",LOOKUP(VALUE(MID(G446,1,2)),Schwierigkeitsstufen!$G$7:$G$19,Schwierigkeitsstufen!$H$7:$H$19)))</f>
        <v/>
      </c>
      <c r="AB446" s="250" t="str">
        <f>IF((($A446="")*($B446=""))+((MID($Y446,1,4)&lt;&gt;"Wahl")*(Deckblatt!$C$14='WK-Vorlagen'!$C$82))+(Deckblatt!$C$14&lt;&gt;'WK-Vorlagen'!$C$82),"",IF(ISERROR(MATCH(VALUE(MID(H446,1,2)),Schwierigkeitsstufen!$G$7:$G$19,0)),"Gerät falsch",LOOKUP(VALUE(MID(H446,1,2)),Schwierigkeitsstufen!$G$7:$G$19,Schwierigkeitsstufen!$H$7:$H$19)))</f>
        <v/>
      </c>
      <c r="AC446" s="250" t="str">
        <f>IF((($A446="")*($B446=""))+((MID($Y446,1,4)&lt;&gt;"Wahl")*(Deckblatt!$C$14='WK-Vorlagen'!$C$82))+(Deckblatt!$C$14&lt;&gt;'WK-Vorlagen'!$C$82),"",IF(ISERROR(MATCH(VALUE(MID(I446,1,2)),Schwierigkeitsstufen!$G$7:$G$19,0)),"Gerät falsch",LOOKUP(VALUE(MID(I446,1,2)),Schwierigkeitsstufen!$G$7:$G$19,Schwierigkeitsstufen!$H$7:$H$19)))</f>
        <v/>
      </c>
      <c r="AD446" s="251" t="str">
        <f>IF((($A446="")*($B446=""))+((MID($Y446,1,4)&lt;&gt;"Wahl")*(Deckblatt!$C$14='WK-Vorlagen'!$C$82))+(Deckblatt!$C$14&lt;&gt;'WK-Vorlagen'!$C$82),"",IF(ISERROR(MATCH(VALUE(MID(J446,1,2)),Schwierigkeitsstufen!$G$7:$G$19,0)),"Gerät falsch",LOOKUP(VALUE(MID(J446,1,2)),Schwierigkeitsstufen!$G$7:$G$19,Schwierigkeitsstufen!$H$7:$H$19)))</f>
        <v/>
      </c>
      <c r="AE446" s="211"/>
      <c r="AG446" s="221" t="str">
        <f t="shared" si="54"/>
        <v/>
      </c>
      <c r="AH446" s="222" t="str">
        <f t="shared" si="56"/>
        <v/>
      </c>
      <c r="AI446" s="220">
        <f t="shared" si="61"/>
        <v>4</v>
      </c>
      <c r="AJ446" s="222">
        <f t="shared" si="57"/>
        <v>0</v>
      </c>
      <c r="AK446" s="299" t="str">
        <f>IF(ISERROR(LOOKUP(E446,WKNrListe,Übersicht!$R$7:$R$46)),"-",LOOKUP(E446,WKNrListe,Übersicht!$R$7:$R$46))</f>
        <v>-</v>
      </c>
      <c r="AL446" s="299" t="str">
        <f t="shared" si="60"/>
        <v>-</v>
      </c>
      <c r="AM446" s="303"/>
      <c r="AN446" s="174" t="str">
        <f t="shared" si="62"/>
        <v>Leer</v>
      </c>
    </row>
    <row r="447" spans="1:40" s="174" customFormat="1" ht="15" customHeight="1">
      <c r="A447" s="63"/>
      <c r="B447" s="63"/>
      <c r="C447" s="84"/>
      <c r="D447" s="85"/>
      <c r="E447" s="62"/>
      <c r="F447" s="62"/>
      <c r="G447" s="62"/>
      <c r="H447" s="62"/>
      <c r="I447" s="62"/>
      <c r="J447" s="62"/>
      <c r="K447" s="62"/>
      <c r="L447" s="62"/>
      <c r="M447" s="62"/>
      <c r="N447" s="62"/>
      <c r="O447" s="62"/>
      <c r="P447" s="62"/>
      <c r="Q447" s="62"/>
      <c r="R447" s="62"/>
      <c r="S447" s="258"/>
      <c r="T447" s="248" t="str">
        <f t="shared" si="58"/>
        <v/>
      </c>
      <c r="U447" s="249" t="str">
        <f t="shared" si="59"/>
        <v/>
      </c>
      <c r="V447" s="294" t="str">
        <f t="shared" si="55"/>
        <v/>
      </c>
      <c r="W447" s="294" t="str">
        <f>IF(((E447="")+(F447="")),"",IF(VLOOKUP(F447,Mannschaften!$A$1:$B$54,2,FALSE)&lt;&gt;E447,"Reiter Mannschaften füllen",""))</f>
        <v/>
      </c>
      <c r="X447" s="248" t="str">
        <f>IF(ISBLANK(C447),"",IF((U447&gt;(LOOKUP(E447,WKNrListe,Übersicht!$O$7:$O$46)))+(U447&lt;(LOOKUP(E447,WKNrListe,Übersicht!$P$7:$P$46))),"JG falsch",""))</f>
        <v/>
      </c>
      <c r="Y447" s="255" t="str">
        <f>IF((A447="")*(B447=""),"",IF(ISERROR(MATCH(E447,WKNrListe,0)),"WK falsch",LOOKUP(E447,WKNrListe,Übersicht!$B$7:$B$46)))</f>
        <v/>
      </c>
      <c r="Z447" s="269" t="str">
        <f>IF(((AJ447=0)*(AH447&lt;&gt;"")*(AK447="-"))+((AJ447&lt;&gt;0)*(AH447&lt;&gt;"")*(AK447="-")),IF(AG447="X",Übersicht!$C$70,Übersicht!$C$69),"-")</f>
        <v>-</v>
      </c>
      <c r="AA447" s="252" t="str">
        <f>IF((($A447="")*($B447=""))+((MID($Y447,1,4)&lt;&gt;"Wahl")*(Deckblatt!$C$14='WK-Vorlagen'!$C$82))+(Deckblatt!$C$14&lt;&gt;'WK-Vorlagen'!$C$82),"",IF(ISERROR(MATCH(VALUE(MID(G447,1,2)),Schwierigkeitsstufen!$G$7:$G$19,0)),"Gerät falsch",LOOKUP(VALUE(MID(G447,1,2)),Schwierigkeitsstufen!$G$7:$G$19,Schwierigkeitsstufen!$H$7:$H$19)))</f>
        <v/>
      </c>
      <c r="AB447" s="250" t="str">
        <f>IF((($A447="")*($B447=""))+((MID($Y447,1,4)&lt;&gt;"Wahl")*(Deckblatt!$C$14='WK-Vorlagen'!$C$82))+(Deckblatt!$C$14&lt;&gt;'WK-Vorlagen'!$C$82),"",IF(ISERROR(MATCH(VALUE(MID(H447,1,2)),Schwierigkeitsstufen!$G$7:$G$19,0)),"Gerät falsch",LOOKUP(VALUE(MID(H447,1,2)),Schwierigkeitsstufen!$G$7:$G$19,Schwierigkeitsstufen!$H$7:$H$19)))</f>
        <v/>
      </c>
      <c r="AC447" s="250" t="str">
        <f>IF((($A447="")*($B447=""))+((MID($Y447,1,4)&lt;&gt;"Wahl")*(Deckblatt!$C$14='WK-Vorlagen'!$C$82))+(Deckblatt!$C$14&lt;&gt;'WK-Vorlagen'!$C$82),"",IF(ISERROR(MATCH(VALUE(MID(I447,1,2)),Schwierigkeitsstufen!$G$7:$G$19,0)),"Gerät falsch",LOOKUP(VALUE(MID(I447,1,2)),Schwierigkeitsstufen!$G$7:$G$19,Schwierigkeitsstufen!$H$7:$H$19)))</f>
        <v/>
      </c>
      <c r="AD447" s="251" t="str">
        <f>IF((($A447="")*($B447=""))+((MID($Y447,1,4)&lt;&gt;"Wahl")*(Deckblatt!$C$14='WK-Vorlagen'!$C$82))+(Deckblatt!$C$14&lt;&gt;'WK-Vorlagen'!$C$82),"",IF(ISERROR(MATCH(VALUE(MID(J447,1,2)),Schwierigkeitsstufen!$G$7:$G$19,0)),"Gerät falsch",LOOKUP(VALUE(MID(J447,1,2)),Schwierigkeitsstufen!$G$7:$G$19,Schwierigkeitsstufen!$H$7:$H$19)))</f>
        <v/>
      </c>
      <c r="AE447" s="211"/>
      <c r="AG447" s="221" t="str">
        <f t="shared" si="54"/>
        <v/>
      </c>
      <c r="AH447" s="222" t="str">
        <f t="shared" si="56"/>
        <v/>
      </c>
      <c r="AI447" s="220">
        <f t="shared" si="61"/>
        <v>4</v>
      </c>
      <c r="AJ447" s="222">
        <f t="shared" si="57"/>
        <v>0</v>
      </c>
      <c r="AK447" s="299" t="str">
        <f>IF(ISERROR(LOOKUP(E447,WKNrListe,Übersicht!$R$7:$R$46)),"-",LOOKUP(E447,WKNrListe,Übersicht!$R$7:$R$46))</f>
        <v>-</v>
      </c>
      <c r="AL447" s="299" t="str">
        <f t="shared" si="60"/>
        <v>-</v>
      </c>
      <c r="AM447" s="303"/>
      <c r="AN447" s="174" t="str">
        <f t="shared" si="62"/>
        <v>Leer</v>
      </c>
    </row>
    <row r="448" spans="1:40" s="174" customFormat="1" ht="15" customHeight="1">
      <c r="A448" s="63"/>
      <c r="B448" s="63"/>
      <c r="C448" s="84"/>
      <c r="D448" s="85"/>
      <c r="E448" s="62"/>
      <c r="F448" s="62"/>
      <c r="G448" s="62"/>
      <c r="H448" s="62"/>
      <c r="I448" s="62"/>
      <c r="J448" s="62"/>
      <c r="K448" s="62"/>
      <c r="L448" s="62"/>
      <c r="M448" s="62"/>
      <c r="N448" s="62"/>
      <c r="O448" s="62"/>
      <c r="P448" s="62"/>
      <c r="Q448" s="62"/>
      <c r="R448" s="62"/>
      <c r="S448" s="258"/>
      <c r="T448" s="248" t="str">
        <f t="shared" si="58"/>
        <v/>
      </c>
      <c r="U448" s="249" t="str">
        <f t="shared" si="59"/>
        <v/>
      </c>
      <c r="V448" s="294" t="str">
        <f t="shared" si="55"/>
        <v/>
      </c>
      <c r="W448" s="294" t="str">
        <f>IF(((E448="")+(F448="")),"",IF(VLOOKUP(F448,Mannschaften!$A$1:$B$54,2,FALSE)&lt;&gt;E448,"Reiter Mannschaften füllen",""))</f>
        <v/>
      </c>
      <c r="X448" s="248" t="str">
        <f>IF(ISBLANK(C448),"",IF((U448&gt;(LOOKUP(E448,WKNrListe,Übersicht!$O$7:$O$46)))+(U448&lt;(LOOKUP(E448,WKNrListe,Übersicht!$P$7:$P$46))),"JG falsch",""))</f>
        <v/>
      </c>
      <c r="Y448" s="255" t="str">
        <f>IF((A448="")*(B448=""),"",IF(ISERROR(MATCH(E448,WKNrListe,0)),"WK falsch",LOOKUP(E448,WKNrListe,Übersicht!$B$7:$B$46)))</f>
        <v/>
      </c>
      <c r="Z448" s="269" t="str">
        <f>IF(((AJ448=0)*(AH448&lt;&gt;"")*(AK448="-"))+((AJ448&lt;&gt;0)*(AH448&lt;&gt;"")*(AK448="-")),IF(AG448="X",Übersicht!$C$70,Übersicht!$C$69),"-")</f>
        <v>-</v>
      </c>
      <c r="AA448" s="252" t="str">
        <f>IF((($A448="")*($B448=""))+((MID($Y448,1,4)&lt;&gt;"Wahl")*(Deckblatt!$C$14='WK-Vorlagen'!$C$82))+(Deckblatt!$C$14&lt;&gt;'WK-Vorlagen'!$C$82),"",IF(ISERROR(MATCH(VALUE(MID(G448,1,2)),Schwierigkeitsstufen!$G$7:$G$19,0)),"Gerät falsch",LOOKUP(VALUE(MID(G448,1,2)),Schwierigkeitsstufen!$G$7:$G$19,Schwierigkeitsstufen!$H$7:$H$19)))</f>
        <v/>
      </c>
      <c r="AB448" s="250" t="str">
        <f>IF((($A448="")*($B448=""))+((MID($Y448,1,4)&lt;&gt;"Wahl")*(Deckblatt!$C$14='WK-Vorlagen'!$C$82))+(Deckblatt!$C$14&lt;&gt;'WK-Vorlagen'!$C$82),"",IF(ISERROR(MATCH(VALUE(MID(H448,1,2)),Schwierigkeitsstufen!$G$7:$G$19,0)),"Gerät falsch",LOOKUP(VALUE(MID(H448,1,2)),Schwierigkeitsstufen!$G$7:$G$19,Schwierigkeitsstufen!$H$7:$H$19)))</f>
        <v/>
      </c>
      <c r="AC448" s="250" t="str">
        <f>IF((($A448="")*($B448=""))+((MID($Y448,1,4)&lt;&gt;"Wahl")*(Deckblatt!$C$14='WK-Vorlagen'!$C$82))+(Deckblatt!$C$14&lt;&gt;'WK-Vorlagen'!$C$82),"",IF(ISERROR(MATCH(VALUE(MID(I448,1,2)),Schwierigkeitsstufen!$G$7:$G$19,0)),"Gerät falsch",LOOKUP(VALUE(MID(I448,1,2)),Schwierigkeitsstufen!$G$7:$G$19,Schwierigkeitsstufen!$H$7:$H$19)))</f>
        <v/>
      </c>
      <c r="AD448" s="251" t="str">
        <f>IF((($A448="")*($B448=""))+((MID($Y448,1,4)&lt;&gt;"Wahl")*(Deckblatt!$C$14='WK-Vorlagen'!$C$82))+(Deckblatt!$C$14&lt;&gt;'WK-Vorlagen'!$C$82),"",IF(ISERROR(MATCH(VALUE(MID(J448,1,2)),Schwierigkeitsstufen!$G$7:$G$19,0)),"Gerät falsch",LOOKUP(VALUE(MID(J448,1,2)),Schwierigkeitsstufen!$G$7:$G$19,Schwierigkeitsstufen!$H$7:$H$19)))</f>
        <v/>
      </c>
      <c r="AE448" s="211"/>
      <c r="AG448" s="221" t="str">
        <f t="shared" si="54"/>
        <v/>
      </c>
      <c r="AH448" s="222" t="str">
        <f t="shared" si="56"/>
        <v/>
      </c>
      <c r="AI448" s="220">
        <f t="shared" si="61"/>
        <v>4</v>
      </c>
      <c r="AJ448" s="222">
        <f t="shared" si="57"/>
        <v>0</v>
      </c>
      <c r="AK448" s="299" t="str">
        <f>IF(ISERROR(LOOKUP(E448,WKNrListe,Übersicht!$R$7:$R$46)),"-",LOOKUP(E448,WKNrListe,Übersicht!$R$7:$R$46))</f>
        <v>-</v>
      </c>
      <c r="AL448" s="299" t="str">
        <f t="shared" si="60"/>
        <v>-</v>
      </c>
      <c r="AM448" s="303"/>
      <c r="AN448" s="174" t="str">
        <f t="shared" si="62"/>
        <v>Leer</v>
      </c>
    </row>
    <row r="449" spans="1:40" s="174" customFormat="1" ht="15" customHeight="1">
      <c r="A449" s="63"/>
      <c r="B449" s="63"/>
      <c r="C449" s="84"/>
      <c r="D449" s="85"/>
      <c r="E449" s="62"/>
      <c r="F449" s="62"/>
      <c r="G449" s="62"/>
      <c r="H449" s="62"/>
      <c r="I449" s="62"/>
      <c r="J449" s="62"/>
      <c r="K449" s="62"/>
      <c r="L449" s="62"/>
      <c r="M449" s="62"/>
      <c r="N449" s="62"/>
      <c r="O449" s="62"/>
      <c r="P449" s="62"/>
      <c r="Q449" s="62"/>
      <c r="R449" s="62"/>
      <c r="S449" s="258"/>
      <c r="T449" s="248" t="str">
        <f t="shared" si="58"/>
        <v/>
      </c>
      <c r="U449" s="249" t="str">
        <f t="shared" si="59"/>
        <v/>
      </c>
      <c r="V449" s="294" t="str">
        <f t="shared" si="55"/>
        <v/>
      </c>
      <c r="W449" s="294" t="str">
        <f>IF(((E449="")+(F449="")),"",IF(VLOOKUP(F449,Mannschaften!$A$1:$B$54,2,FALSE)&lt;&gt;E449,"Reiter Mannschaften füllen",""))</f>
        <v/>
      </c>
      <c r="X449" s="248" t="str">
        <f>IF(ISBLANK(C449),"",IF((U449&gt;(LOOKUP(E449,WKNrListe,Übersicht!$O$7:$O$46)))+(U449&lt;(LOOKUP(E449,WKNrListe,Übersicht!$P$7:$P$46))),"JG falsch",""))</f>
        <v/>
      </c>
      <c r="Y449" s="255" t="str">
        <f>IF((A449="")*(B449=""),"",IF(ISERROR(MATCH(E449,WKNrListe,0)),"WK falsch",LOOKUP(E449,WKNrListe,Übersicht!$B$7:$B$46)))</f>
        <v/>
      </c>
      <c r="Z449" s="269" t="str">
        <f>IF(((AJ449=0)*(AH449&lt;&gt;"")*(AK449="-"))+((AJ449&lt;&gt;0)*(AH449&lt;&gt;"")*(AK449="-")),IF(AG449="X",Übersicht!$C$70,Übersicht!$C$69),"-")</f>
        <v>-</v>
      </c>
      <c r="AA449" s="252" t="str">
        <f>IF((($A449="")*($B449=""))+((MID($Y449,1,4)&lt;&gt;"Wahl")*(Deckblatt!$C$14='WK-Vorlagen'!$C$82))+(Deckblatt!$C$14&lt;&gt;'WK-Vorlagen'!$C$82),"",IF(ISERROR(MATCH(VALUE(MID(G449,1,2)),Schwierigkeitsstufen!$G$7:$G$19,0)),"Gerät falsch",LOOKUP(VALUE(MID(G449,1,2)),Schwierigkeitsstufen!$G$7:$G$19,Schwierigkeitsstufen!$H$7:$H$19)))</f>
        <v/>
      </c>
      <c r="AB449" s="250" t="str">
        <f>IF((($A449="")*($B449=""))+((MID($Y449,1,4)&lt;&gt;"Wahl")*(Deckblatt!$C$14='WK-Vorlagen'!$C$82))+(Deckblatt!$C$14&lt;&gt;'WK-Vorlagen'!$C$82),"",IF(ISERROR(MATCH(VALUE(MID(H449,1,2)),Schwierigkeitsstufen!$G$7:$G$19,0)),"Gerät falsch",LOOKUP(VALUE(MID(H449,1,2)),Schwierigkeitsstufen!$G$7:$G$19,Schwierigkeitsstufen!$H$7:$H$19)))</f>
        <v/>
      </c>
      <c r="AC449" s="250" t="str">
        <f>IF((($A449="")*($B449=""))+((MID($Y449,1,4)&lt;&gt;"Wahl")*(Deckblatt!$C$14='WK-Vorlagen'!$C$82))+(Deckblatt!$C$14&lt;&gt;'WK-Vorlagen'!$C$82),"",IF(ISERROR(MATCH(VALUE(MID(I449,1,2)),Schwierigkeitsstufen!$G$7:$G$19,0)),"Gerät falsch",LOOKUP(VALUE(MID(I449,1,2)),Schwierigkeitsstufen!$G$7:$G$19,Schwierigkeitsstufen!$H$7:$H$19)))</f>
        <v/>
      </c>
      <c r="AD449" s="251" t="str">
        <f>IF((($A449="")*($B449=""))+((MID($Y449,1,4)&lt;&gt;"Wahl")*(Deckblatt!$C$14='WK-Vorlagen'!$C$82))+(Deckblatt!$C$14&lt;&gt;'WK-Vorlagen'!$C$82),"",IF(ISERROR(MATCH(VALUE(MID(J449,1,2)),Schwierigkeitsstufen!$G$7:$G$19,0)),"Gerät falsch",LOOKUP(VALUE(MID(J449,1,2)),Schwierigkeitsstufen!$G$7:$G$19,Schwierigkeitsstufen!$H$7:$H$19)))</f>
        <v/>
      </c>
      <c r="AE449" s="211"/>
      <c r="AG449" s="221" t="str">
        <f t="shared" si="54"/>
        <v/>
      </c>
      <c r="AH449" s="222" t="str">
        <f t="shared" si="56"/>
        <v/>
      </c>
      <c r="AI449" s="220">
        <f t="shared" si="61"/>
        <v>4</v>
      </c>
      <c r="AJ449" s="222">
        <f t="shared" si="57"/>
        <v>0</v>
      </c>
      <c r="AK449" s="299" t="str">
        <f>IF(ISERROR(LOOKUP(E449,WKNrListe,Übersicht!$R$7:$R$46)),"-",LOOKUP(E449,WKNrListe,Übersicht!$R$7:$R$46))</f>
        <v>-</v>
      </c>
      <c r="AL449" s="299" t="str">
        <f t="shared" si="60"/>
        <v>-</v>
      </c>
      <c r="AM449" s="303"/>
      <c r="AN449" s="174" t="str">
        <f t="shared" si="62"/>
        <v>Leer</v>
      </c>
    </row>
    <row r="450" spans="1:40" s="174" customFormat="1" ht="15" customHeight="1">
      <c r="A450" s="63"/>
      <c r="B450" s="63"/>
      <c r="C450" s="84"/>
      <c r="D450" s="85"/>
      <c r="E450" s="62"/>
      <c r="F450" s="62"/>
      <c r="G450" s="62"/>
      <c r="H450" s="62"/>
      <c r="I450" s="62"/>
      <c r="J450" s="62"/>
      <c r="K450" s="62"/>
      <c r="L450" s="62"/>
      <c r="M450" s="62"/>
      <c r="N450" s="62"/>
      <c r="O450" s="62"/>
      <c r="P450" s="62"/>
      <c r="Q450" s="62"/>
      <c r="R450" s="62"/>
      <c r="S450" s="258"/>
      <c r="T450" s="248" t="str">
        <f t="shared" si="58"/>
        <v/>
      </c>
      <c r="U450" s="249" t="str">
        <f t="shared" si="59"/>
        <v/>
      </c>
      <c r="V450" s="294" t="str">
        <f t="shared" si="55"/>
        <v/>
      </c>
      <c r="W450" s="294" t="str">
        <f>IF(((E450="")+(F450="")),"",IF(VLOOKUP(F450,Mannschaften!$A$1:$B$54,2,FALSE)&lt;&gt;E450,"Reiter Mannschaften füllen",""))</f>
        <v/>
      </c>
      <c r="X450" s="248" t="str">
        <f>IF(ISBLANK(C450),"",IF((U450&gt;(LOOKUP(E450,WKNrListe,Übersicht!$O$7:$O$46)))+(U450&lt;(LOOKUP(E450,WKNrListe,Übersicht!$P$7:$P$46))),"JG falsch",""))</f>
        <v/>
      </c>
      <c r="Y450" s="255" t="str">
        <f>IF((A450="")*(B450=""),"",IF(ISERROR(MATCH(E450,WKNrListe,0)),"WK falsch",LOOKUP(E450,WKNrListe,Übersicht!$B$7:$B$46)))</f>
        <v/>
      </c>
      <c r="Z450" s="269" t="str">
        <f>IF(((AJ450=0)*(AH450&lt;&gt;"")*(AK450="-"))+((AJ450&lt;&gt;0)*(AH450&lt;&gt;"")*(AK450="-")),IF(AG450="X",Übersicht!$C$70,Übersicht!$C$69),"-")</f>
        <v>-</v>
      </c>
      <c r="AA450" s="252" t="str">
        <f>IF((($A450="")*($B450=""))+((MID($Y450,1,4)&lt;&gt;"Wahl")*(Deckblatt!$C$14='WK-Vorlagen'!$C$82))+(Deckblatt!$C$14&lt;&gt;'WK-Vorlagen'!$C$82),"",IF(ISERROR(MATCH(VALUE(MID(G450,1,2)),Schwierigkeitsstufen!$G$7:$G$19,0)),"Gerät falsch",LOOKUP(VALUE(MID(G450,1,2)),Schwierigkeitsstufen!$G$7:$G$19,Schwierigkeitsstufen!$H$7:$H$19)))</f>
        <v/>
      </c>
      <c r="AB450" s="250" t="str">
        <f>IF((($A450="")*($B450=""))+((MID($Y450,1,4)&lt;&gt;"Wahl")*(Deckblatt!$C$14='WK-Vorlagen'!$C$82))+(Deckblatt!$C$14&lt;&gt;'WK-Vorlagen'!$C$82),"",IF(ISERROR(MATCH(VALUE(MID(H450,1,2)),Schwierigkeitsstufen!$G$7:$G$19,0)),"Gerät falsch",LOOKUP(VALUE(MID(H450,1,2)),Schwierigkeitsstufen!$G$7:$G$19,Schwierigkeitsstufen!$H$7:$H$19)))</f>
        <v/>
      </c>
      <c r="AC450" s="250" t="str">
        <f>IF((($A450="")*($B450=""))+((MID($Y450,1,4)&lt;&gt;"Wahl")*(Deckblatt!$C$14='WK-Vorlagen'!$C$82))+(Deckblatt!$C$14&lt;&gt;'WK-Vorlagen'!$C$82),"",IF(ISERROR(MATCH(VALUE(MID(I450,1,2)),Schwierigkeitsstufen!$G$7:$G$19,0)),"Gerät falsch",LOOKUP(VALUE(MID(I450,1,2)),Schwierigkeitsstufen!$G$7:$G$19,Schwierigkeitsstufen!$H$7:$H$19)))</f>
        <v/>
      </c>
      <c r="AD450" s="251" t="str">
        <f>IF((($A450="")*($B450=""))+((MID($Y450,1,4)&lt;&gt;"Wahl")*(Deckblatt!$C$14='WK-Vorlagen'!$C$82))+(Deckblatt!$C$14&lt;&gt;'WK-Vorlagen'!$C$82),"",IF(ISERROR(MATCH(VALUE(MID(J450,1,2)),Schwierigkeitsstufen!$G$7:$G$19,0)),"Gerät falsch",LOOKUP(VALUE(MID(J450,1,2)),Schwierigkeitsstufen!$G$7:$G$19,Schwierigkeitsstufen!$H$7:$H$19)))</f>
        <v/>
      </c>
      <c r="AE450" s="211"/>
      <c r="AG450" s="221" t="str">
        <f t="shared" si="54"/>
        <v/>
      </c>
      <c r="AH450" s="222" t="str">
        <f t="shared" si="56"/>
        <v/>
      </c>
      <c r="AI450" s="220">
        <f t="shared" si="61"/>
        <v>4</v>
      </c>
      <c r="AJ450" s="222">
        <f t="shared" si="57"/>
        <v>0</v>
      </c>
      <c r="AK450" s="299" t="str">
        <f>IF(ISERROR(LOOKUP(E450,WKNrListe,Übersicht!$R$7:$R$46)),"-",LOOKUP(E450,WKNrListe,Übersicht!$R$7:$R$46))</f>
        <v>-</v>
      </c>
      <c r="AL450" s="299" t="str">
        <f t="shared" si="60"/>
        <v>-</v>
      </c>
      <c r="AM450" s="303"/>
      <c r="AN450" s="174" t="str">
        <f t="shared" si="62"/>
        <v>Leer</v>
      </c>
    </row>
    <row r="451" spans="1:40" s="174" customFormat="1" ht="15" customHeight="1">
      <c r="A451" s="63"/>
      <c r="B451" s="63"/>
      <c r="C451" s="84"/>
      <c r="D451" s="85"/>
      <c r="E451" s="62"/>
      <c r="F451" s="62"/>
      <c r="G451" s="62"/>
      <c r="H451" s="62"/>
      <c r="I451" s="62"/>
      <c r="J451" s="62"/>
      <c r="K451" s="62"/>
      <c r="L451" s="62"/>
      <c r="M451" s="62"/>
      <c r="N451" s="62"/>
      <c r="O451" s="62"/>
      <c r="P451" s="62"/>
      <c r="Q451" s="62"/>
      <c r="R451" s="62"/>
      <c r="S451" s="258"/>
      <c r="T451" s="248" t="str">
        <f t="shared" si="58"/>
        <v/>
      </c>
      <c r="U451" s="249" t="str">
        <f t="shared" si="59"/>
        <v/>
      </c>
      <c r="V451" s="294" t="str">
        <f t="shared" si="55"/>
        <v/>
      </c>
      <c r="W451" s="294" t="str">
        <f>IF(((E451="")+(F451="")),"",IF(VLOOKUP(F451,Mannschaften!$A$1:$B$54,2,FALSE)&lt;&gt;E451,"Reiter Mannschaften füllen",""))</f>
        <v/>
      </c>
      <c r="X451" s="248" t="str">
        <f>IF(ISBLANK(C451),"",IF((U451&gt;(LOOKUP(E451,WKNrListe,Übersicht!$O$7:$O$46)))+(U451&lt;(LOOKUP(E451,WKNrListe,Übersicht!$P$7:$P$46))),"JG falsch",""))</f>
        <v/>
      </c>
      <c r="Y451" s="255" t="str">
        <f>IF((A451="")*(B451=""),"",IF(ISERROR(MATCH(E451,WKNrListe,0)),"WK falsch",LOOKUP(E451,WKNrListe,Übersicht!$B$7:$B$46)))</f>
        <v/>
      </c>
      <c r="Z451" s="269" t="str">
        <f>IF(((AJ451=0)*(AH451&lt;&gt;"")*(AK451="-"))+((AJ451&lt;&gt;0)*(AH451&lt;&gt;"")*(AK451="-")),IF(AG451="X",Übersicht!$C$70,Übersicht!$C$69),"-")</f>
        <v>-</v>
      </c>
      <c r="AA451" s="252" t="str">
        <f>IF((($A451="")*($B451=""))+((MID($Y451,1,4)&lt;&gt;"Wahl")*(Deckblatt!$C$14='WK-Vorlagen'!$C$82))+(Deckblatt!$C$14&lt;&gt;'WK-Vorlagen'!$C$82),"",IF(ISERROR(MATCH(VALUE(MID(G451,1,2)),Schwierigkeitsstufen!$G$7:$G$19,0)),"Gerät falsch",LOOKUP(VALUE(MID(G451,1,2)),Schwierigkeitsstufen!$G$7:$G$19,Schwierigkeitsstufen!$H$7:$H$19)))</f>
        <v/>
      </c>
      <c r="AB451" s="250" t="str">
        <f>IF((($A451="")*($B451=""))+((MID($Y451,1,4)&lt;&gt;"Wahl")*(Deckblatt!$C$14='WK-Vorlagen'!$C$82))+(Deckblatt!$C$14&lt;&gt;'WK-Vorlagen'!$C$82),"",IF(ISERROR(MATCH(VALUE(MID(H451,1,2)),Schwierigkeitsstufen!$G$7:$G$19,0)),"Gerät falsch",LOOKUP(VALUE(MID(H451,1,2)),Schwierigkeitsstufen!$G$7:$G$19,Schwierigkeitsstufen!$H$7:$H$19)))</f>
        <v/>
      </c>
      <c r="AC451" s="250" t="str">
        <f>IF((($A451="")*($B451=""))+((MID($Y451,1,4)&lt;&gt;"Wahl")*(Deckblatt!$C$14='WK-Vorlagen'!$C$82))+(Deckblatt!$C$14&lt;&gt;'WK-Vorlagen'!$C$82),"",IF(ISERROR(MATCH(VALUE(MID(I451,1,2)),Schwierigkeitsstufen!$G$7:$G$19,0)),"Gerät falsch",LOOKUP(VALUE(MID(I451,1,2)),Schwierigkeitsstufen!$G$7:$G$19,Schwierigkeitsstufen!$H$7:$H$19)))</f>
        <v/>
      </c>
      <c r="AD451" s="251" t="str">
        <f>IF((($A451="")*($B451=""))+((MID($Y451,1,4)&lt;&gt;"Wahl")*(Deckblatt!$C$14='WK-Vorlagen'!$C$82))+(Deckblatt!$C$14&lt;&gt;'WK-Vorlagen'!$C$82),"",IF(ISERROR(MATCH(VALUE(MID(J451,1,2)),Schwierigkeitsstufen!$G$7:$G$19,0)),"Gerät falsch",LOOKUP(VALUE(MID(J451,1,2)),Schwierigkeitsstufen!$G$7:$G$19,Schwierigkeitsstufen!$H$7:$H$19)))</f>
        <v/>
      </c>
      <c r="AE451" s="211"/>
      <c r="AG451" s="221" t="str">
        <f t="shared" si="54"/>
        <v/>
      </c>
      <c r="AH451" s="222" t="str">
        <f t="shared" si="56"/>
        <v/>
      </c>
      <c r="AI451" s="220">
        <f t="shared" si="61"/>
        <v>4</v>
      </c>
      <c r="AJ451" s="222">
        <f t="shared" si="57"/>
        <v>0</v>
      </c>
      <c r="AK451" s="299" t="str">
        <f>IF(ISERROR(LOOKUP(E451,WKNrListe,Übersicht!$R$7:$R$46)),"-",LOOKUP(E451,WKNrListe,Übersicht!$R$7:$R$46))</f>
        <v>-</v>
      </c>
      <c r="AL451" s="299" t="str">
        <f t="shared" si="60"/>
        <v>-</v>
      </c>
      <c r="AM451" s="303"/>
      <c r="AN451" s="174" t="str">
        <f t="shared" si="62"/>
        <v>Leer</v>
      </c>
    </row>
    <row r="452" spans="1:40" s="174" customFormat="1" ht="15" customHeight="1">
      <c r="A452" s="63"/>
      <c r="B452" s="63"/>
      <c r="C452" s="84"/>
      <c r="D452" s="85"/>
      <c r="E452" s="62"/>
      <c r="F452" s="62"/>
      <c r="G452" s="62"/>
      <c r="H452" s="62"/>
      <c r="I452" s="62"/>
      <c r="J452" s="62"/>
      <c r="K452" s="62"/>
      <c r="L452" s="62"/>
      <c r="M452" s="62"/>
      <c r="N452" s="62"/>
      <c r="O452" s="62"/>
      <c r="P452" s="62"/>
      <c r="Q452" s="62"/>
      <c r="R452" s="62"/>
      <c r="S452" s="258"/>
      <c r="T452" s="248" t="str">
        <f t="shared" si="58"/>
        <v/>
      </c>
      <c r="U452" s="249" t="str">
        <f t="shared" si="59"/>
        <v/>
      </c>
      <c r="V452" s="294" t="str">
        <f t="shared" si="55"/>
        <v/>
      </c>
      <c r="W452" s="294" t="str">
        <f>IF(((E452="")+(F452="")),"",IF(VLOOKUP(F452,Mannschaften!$A$1:$B$54,2,FALSE)&lt;&gt;E452,"Reiter Mannschaften füllen",""))</f>
        <v/>
      </c>
      <c r="X452" s="248" t="str">
        <f>IF(ISBLANK(C452),"",IF((U452&gt;(LOOKUP(E452,WKNrListe,Übersicht!$O$7:$O$46)))+(U452&lt;(LOOKUP(E452,WKNrListe,Übersicht!$P$7:$P$46))),"JG falsch",""))</f>
        <v/>
      </c>
      <c r="Y452" s="255" t="str">
        <f>IF((A452="")*(B452=""),"",IF(ISERROR(MATCH(E452,WKNrListe,0)),"WK falsch",LOOKUP(E452,WKNrListe,Übersicht!$B$7:$B$46)))</f>
        <v/>
      </c>
      <c r="Z452" s="269" t="str">
        <f>IF(((AJ452=0)*(AH452&lt;&gt;"")*(AK452="-"))+((AJ452&lt;&gt;0)*(AH452&lt;&gt;"")*(AK452="-")),IF(AG452="X",Übersicht!$C$70,Übersicht!$C$69),"-")</f>
        <v>-</v>
      </c>
      <c r="AA452" s="252" t="str">
        <f>IF((($A452="")*($B452=""))+((MID($Y452,1,4)&lt;&gt;"Wahl")*(Deckblatt!$C$14='WK-Vorlagen'!$C$82))+(Deckblatt!$C$14&lt;&gt;'WK-Vorlagen'!$C$82),"",IF(ISERROR(MATCH(VALUE(MID(G452,1,2)),Schwierigkeitsstufen!$G$7:$G$19,0)),"Gerät falsch",LOOKUP(VALUE(MID(G452,1,2)),Schwierigkeitsstufen!$G$7:$G$19,Schwierigkeitsstufen!$H$7:$H$19)))</f>
        <v/>
      </c>
      <c r="AB452" s="250" t="str">
        <f>IF((($A452="")*($B452=""))+((MID($Y452,1,4)&lt;&gt;"Wahl")*(Deckblatt!$C$14='WK-Vorlagen'!$C$82))+(Deckblatt!$C$14&lt;&gt;'WK-Vorlagen'!$C$82),"",IF(ISERROR(MATCH(VALUE(MID(H452,1,2)),Schwierigkeitsstufen!$G$7:$G$19,0)),"Gerät falsch",LOOKUP(VALUE(MID(H452,1,2)),Schwierigkeitsstufen!$G$7:$G$19,Schwierigkeitsstufen!$H$7:$H$19)))</f>
        <v/>
      </c>
      <c r="AC452" s="250" t="str">
        <f>IF((($A452="")*($B452=""))+((MID($Y452,1,4)&lt;&gt;"Wahl")*(Deckblatt!$C$14='WK-Vorlagen'!$C$82))+(Deckblatt!$C$14&lt;&gt;'WK-Vorlagen'!$C$82),"",IF(ISERROR(MATCH(VALUE(MID(I452,1,2)),Schwierigkeitsstufen!$G$7:$G$19,0)),"Gerät falsch",LOOKUP(VALUE(MID(I452,1,2)),Schwierigkeitsstufen!$G$7:$G$19,Schwierigkeitsstufen!$H$7:$H$19)))</f>
        <v/>
      </c>
      <c r="AD452" s="251" t="str">
        <f>IF((($A452="")*($B452=""))+((MID($Y452,1,4)&lt;&gt;"Wahl")*(Deckblatt!$C$14='WK-Vorlagen'!$C$82))+(Deckblatt!$C$14&lt;&gt;'WK-Vorlagen'!$C$82),"",IF(ISERROR(MATCH(VALUE(MID(J452,1,2)),Schwierigkeitsstufen!$G$7:$G$19,0)),"Gerät falsch",LOOKUP(VALUE(MID(J452,1,2)),Schwierigkeitsstufen!$G$7:$G$19,Schwierigkeitsstufen!$H$7:$H$19)))</f>
        <v/>
      </c>
      <c r="AE452" s="211"/>
      <c r="AG452" s="221" t="str">
        <f t="shared" ref="AG452:AG515" si="63">IF((C452&lt;&gt;0),IF(((Jahr-U452)&gt;19)*(AJ452=0)*(AK452&lt;&gt;1),"X",IF(((Jahr-U452)&gt;19)*(AJ452=0),"J","-")),"")</f>
        <v/>
      </c>
      <c r="AH452" s="222" t="str">
        <f t="shared" si="56"/>
        <v/>
      </c>
      <c r="AI452" s="220">
        <f t="shared" si="61"/>
        <v>4</v>
      </c>
      <c r="AJ452" s="222">
        <f t="shared" si="57"/>
        <v>0</v>
      </c>
      <c r="AK452" s="299" t="str">
        <f>IF(ISERROR(LOOKUP(E452,WKNrListe,Übersicht!$R$7:$R$46)),"-",LOOKUP(E452,WKNrListe,Übersicht!$R$7:$R$46))</f>
        <v>-</v>
      </c>
      <c r="AL452" s="299" t="str">
        <f t="shared" si="60"/>
        <v>-</v>
      </c>
      <c r="AM452" s="303"/>
      <c r="AN452" s="174" t="str">
        <f t="shared" si="62"/>
        <v>Leer</v>
      </c>
    </row>
    <row r="453" spans="1:40" s="174" customFormat="1" ht="15" customHeight="1">
      <c r="A453" s="63"/>
      <c r="B453" s="63"/>
      <c r="C453" s="84"/>
      <c r="D453" s="85"/>
      <c r="E453" s="62"/>
      <c r="F453" s="62"/>
      <c r="G453" s="62"/>
      <c r="H453" s="62"/>
      <c r="I453" s="62"/>
      <c r="J453" s="62"/>
      <c r="K453" s="62"/>
      <c r="L453" s="62"/>
      <c r="M453" s="62"/>
      <c r="N453" s="62"/>
      <c r="O453" s="62"/>
      <c r="P453" s="62"/>
      <c r="Q453" s="62"/>
      <c r="R453" s="62"/>
      <c r="S453" s="258"/>
      <c r="T453" s="248" t="str">
        <f t="shared" si="58"/>
        <v/>
      </c>
      <c r="U453" s="249" t="str">
        <f t="shared" si="59"/>
        <v/>
      </c>
      <c r="V453" s="294" t="str">
        <f t="shared" ref="V453:V516" si="64">IF(((AK453="-")*(F453=""))+((AK453=1)*(F453&lt;&gt;""))+(Y453="WK falsch"),"",IF((AK453=1)*(F453=""),"Mannsch-Nr fehlt","Mannsch-Nr entf"))</f>
        <v/>
      </c>
      <c r="W453" s="294" t="str">
        <f>IF(((E453="")+(F453="")),"",IF(VLOOKUP(F453,Mannschaften!$A$1:$B$54,2,FALSE)&lt;&gt;E453,"Reiter Mannschaften füllen",""))</f>
        <v/>
      </c>
      <c r="X453" s="248" t="str">
        <f>IF(ISBLANK(C453),"",IF((U453&gt;(LOOKUP(E453,WKNrListe,Übersicht!$O$7:$O$46)))+(U453&lt;(LOOKUP(E453,WKNrListe,Übersicht!$P$7:$P$46))),"JG falsch",""))</f>
        <v/>
      </c>
      <c r="Y453" s="255" t="str">
        <f>IF((A453="")*(B453=""),"",IF(ISERROR(MATCH(E453,WKNrListe,0)),"WK falsch",LOOKUP(E453,WKNrListe,Übersicht!$B$7:$B$46)))</f>
        <v/>
      </c>
      <c r="Z453" s="269" t="str">
        <f>IF(((AJ453=0)*(AH453&lt;&gt;"")*(AK453="-"))+((AJ453&lt;&gt;0)*(AH453&lt;&gt;"")*(AK453="-")),IF(AG453="X",Übersicht!$C$70,Übersicht!$C$69),"-")</f>
        <v>-</v>
      </c>
      <c r="AA453" s="252" t="str">
        <f>IF((($A453="")*($B453=""))+((MID($Y453,1,4)&lt;&gt;"Wahl")*(Deckblatt!$C$14='WK-Vorlagen'!$C$82))+(Deckblatt!$C$14&lt;&gt;'WK-Vorlagen'!$C$82),"",IF(ISERROR(MATCH(VALUE(MID(G453,1,2)),Schwierigkeitsstufen!$G$7:$G$19,0)),"Gerät falsch",LOOKUP(VALUE(MID(G453,1,2)),Schwierigkeitsstufen!$G$7:$G$19,Schwierigkeitsstufen!$H$7:$H$19)))</f>
        <v/>
      </c>
      <c r="AB453" s="250" t="str">
        <f>IF((($A453="")*($B453=""))+((MID($Y453,1,4)&lt;&gt;"Wahl")*(Deckblatt!$C$14='WK-Vorlagen'!$C$82))+(Deckblatt!$C$14&lt;&gt;'WK-Vorlagen'!$C$82),"",IF(ISERROR(MATCH(VALUE(MID(H453,1,2)),Schwierigkeitsstufen!$G$7:$G$19,0)),"Gerät falsch",LOOKUP(VALUE(MID(H453,1,2)),Schwierigkeitsstufen!$G$7:$G$19,Schwierigkeitsstufen!$H$7:$H$19)))</f>
        <v/>
      </c>
      <c r="AC453" s="250" t="str">
        <f>IF((($A453="")*($B453=""))+((MID($Y453,1,4)&lt;&gt;"Wahl")*(Deckblatt!$C$14='WK-Vorlagen'!$C$82))+(Deckblatt!$C$14&lt;&gt;'WK-Vorlagen'!$C$82),"",IF(ISERROR(MATCH(VALUE(MID(I453,1,2)),Schwierigkeitsstufen!$G$7:$G$19,0)),"Gerät falsch",LOOKUP(VALUE(MID(I453,1,2)),Schwierigkeitsstufen!$G$7:$G$19,Schwierigkeitsstufen!$H$7:$H$19)))</f>
        <v/>
      </c>
      <c r="AD453" s="251" t="str">
        <f>IF((($A453="")*($B453=""))+((MID($Y453,1,4)&lt;&gt;"Wahl")*(Deckblatt!$C$14='WK-Vorlagen'!$C$82))+(Deckblatt!$C$14&lt;&gt;'WK-Vorlagen'!$C$82),"",IF(ISERROR(MATCH(VALUE(MID(J453,1,2)),Schwierigkeitsstufen!$G$7:$G$19,0)),"Gerät falsch",LOOKUP(VALUE(MID(J453,1,2)),Schwierigkeitsstufen!$G$7:$G$19,Schwierigkeitsstufen!$H$7:$H$19)))</f>
        <v/>
      </c>
      <c r="AE453" s="211"/>
      <c r="AG453" s="221" t="str">
        <f t="shared" si="63"/>
        <v/>
      </c>
      <c r="AH453" s="222" t="str">
        <f t="shared" ref="AH453:AH516" si="65">CONCATENATE(TRIM(A453),TRIM(B453),TRIM(C453))</f>
        <v/>
      </c>
      <c r="AI453" s="220">
        <f t="shared" si="61"/>
        <v>4</v>
      </c>
      <c r="AJ453" s="222">
        <f t="shared" ref="AJ453:AJ516" si="66">IF(AH453="",0,IF(ROW(AH453)=AI453,0,AI453))</f>
        <v>0</v>
      </c>
      <c r="AK453" s="299" t="str">
        <f>IF(ISERROR(LOOKUP(E453,WKNrListe,Übersicht!$R$7:$R$46)),"-",LOOKUP(E453,WKNrListe,Übersicht!$R$7:$R$46))</f>
        <v>-</v>
      </c>
      <c r="AL453" s="299" t="str">
        <f t="shared" si="60"/>
        <v>-</v>
      </c>
      <c r="AM453" s="303"/>
      <c r="AN453" s="174" t="str">
        <f t="shared" si="62"/>
        <v>Leer</v>
      </c>
    </row>
    <row r="454" spans="1:40" s="174" customFormat="1" ht="15" customHeight="1">
      <c r="A454" s="63"/>
      <c r="B454" s="63"/>
      <c r="C454" s="84"/>
      <c r="D454" s="85"/>
      <c r="E454" s="62"/>
      <c r="F454" s="62"/>
      <c r="G454" s="62"/>
      <c r="H454" s="62"/>
      <c r="I454" s="62"/>
      <c r="J454" s="62"/>
      <c r="K454" s="62"/>
      <c r="L454" s="62"/>
      <c r="M454" s="62"/>
      <c r="N454" s="62"/>
      <c r="O454" s="62"/>
      <c r="P454" s="62"/>
      <c r="Q454" s="62"/>
      <c r="R454" s="62"/>
      <c r="S454" s="258"/>
      <c r="T454" s="248" t="str">
        <f t="shared" ref="T454:T517" si="67">IF(AND(OR(ISTEXT(A454),ISTEXT(B454),NOT(ISBLANK(C454)),NOT(ISBLANK(D454)),NOT(ISBLANK(E454))),OR(ISBLANK(A454),ISBLANK(B454),ISBLANK(C454),ISBLANK(E454))),"unvollständig","")</f>
        <v/>
      </c>
      <c r="U454" s="249" t="str">
        <f t="shared" ref="U454:U517" si="68">IF(ISBLANK(C454),"",YEAR(C454))</f>
        <v/>
      </c>
      <c r="V454" s="294" t="str">
        <f t="shared" si="64"/>
        <v/>
      </c>
      <c r="W454" s="294" t="str">
        <f>IF(((E454="")+(F454="")),"",IF(VLOOKUP(F454,Mannschaften!$A$1:$B$54,2,FALSE)&lt;&gt;E454,"Reiter Mannschaften füllen",""))</f>
        <v/>
      </c>
      <c r="X454" s="248" t="str">
        <f>IF(ISBLANK(C454),"",IF((U454&gt;(LOOKUP(E454,WKNrListe,Übersicht!$O$7:$O$46)))+(U454&lt;(LOOKUP(E454,WKNrListe,Übersicht!$P$7:$P$46))),"JG falsch",""))</f>
        <v/>
      </c>
      <c r="Y454" s="255" t="str">
        <f>IF((A454="")*(B454=""),"",IF(ISERROR(MATCH(E454,WKNrListe,0)),"WK falsch",LOOKUP(E454,WKNrListe,Übersicht!$B$7:$B$46)))</f>
        <v/>
      </c>
      <c r="Z454" s="269" t="str">
        <f>IF(((AJ454=0)*(AH454&lt;&gt;"")*(AK454="-"))+((AJ454&lt;&gt;0)*(AH454&lt;&gt;"")*(AK454="-")),IF(AG454="X",Übersicht!$C$70,Übersicht!$C$69),"-")</f>
        <v>-</v>
      </c>
      <c r="AA454" s="252" t="str">
        <f>IF((($A454="")*($B454=""))+((MID($Y454,1,4)&lt;&gt;"Wahl")*(Deckblatt!$C$14='WK-Vorlagen'!$C$82))+(Deckblatt!$C$14&lt;&gt;'WK-Vorlagen'!$C$82),"",IF(ISERROR(MATCH(VALUE(MID(G454,1,2)),Schwierigkeitsstufen!$G$7:$G$19,0)),"Gerät falsch",LOOKUP(VALUE(MID(G454,1,2)),Schwierigkeitsstufen!$G$7:$G$19,Schwierigkeitsstufen!$H$7:$H$19)))</f>
        <v/>
      </c>
      <c r="AB454" s="250" t="str">
        <f>IF((($A454="")*($B454=""))+((MID($Y454,1,4)&lt;&gt;"Wahl")*(Deckblatt!$C$14='WK-Vorlagen'!$C$82))+(Deckblatt!$C$14&lt;&gt;'WK-Vorlagen'!$C$82),"",IF(ISERROR(MATCH(VALUE(MID(H454,1,2)),Schwierigkeitsstufen!$G$7:$G$19,0)),"Gerät falsch",LOOKUP(VALUE(MID(H454,1,2)),Schwierigkeitsstufen!$G$7:$G$19,Schwierigkeitsstufen!$H$7:$H$19)))</f>
        <v/>
      </c>
      <c r="AC454" s="250" t="str">
        <f>IF((($A454="")*($B454=""))+((MID($Y454,1,4)&lt;&gt;"Wahl")*(Deckblatt!$C$14='WK-Vorlagen'!$C$82))+(Deckblatt!$C$14&lt;&gt;'WK-Vorlagen'!$C$82),"",IF(ISERROR(MATCH(VALUE(MID(I454,1,2)),Schwierigkeitsstufen!$G$7:$G$19,0)),"Gerät falsch",LOOKUP(VALUE(MID(I454,1,2)),Schwierigkeitsstufen!$G$7:$G$19,Schwierigkeitsstufen!$H$7:$H$19)))</f>
        <v/>
      </c>
      <c r="AD454" s="251" t="str">
        <f>IF((($A454="")*($B454=""))+((MID($Y454,1,4)&lt;&gt;"Wahl")*(Deckblatt!$C$14='WK-Vorlagen'!$C$82))+(Deckblatt!$C$14&lt;&gt;'WK-Vorlagen'!$C$82),"",IF(ISERROR(MATCH(VALUE(MID(J454,1,2)),Schwierigkeitsstufen!$G$7:$G$19,0)),"Gerät falsch",LOOKUP(VALUE(MID(J454,1,2)),Schwierigkeitsstufen!$G$7:$G$19,Schwierigkeitsstufen!$H$7:$H$19)))</f>
        <v/>
      </c>
      <c r="AE454" s="211"/>
      <c r="AG454" s="221" t="str">
        <f t="shared" si="63"/>
        <v/>
      </c>
      <c r="AH454" s="222" t="str">
        <f t="shared" si="65"/>
        <v/>
      </c>
      <c r="AI454" s="220">
        <f t="shared" si="61"/>
        <v>4</v>
      </c>
      <c r="AJ454" s="222">
        <f t="shared" si="66"/>
        <v>0</v>
      </c>
      <c r="AK454" s="299" t="str">
        <f>IF(ISERROR(LOOKUP(E454,WKNrListe,Übersicht!$R$7:$R$46)),"-",LOOKUP(E454,WKNrListe,Übersicht!$R$7:$R$46))</f>
        <v>-</v>
      </c>
      <c r="AL454" s="299" t="str">
        <f t="shared" ref="AL454:AL517" si="69">IF(E454="","-",E454)</f>
        <v>-</v>
      </c>
      <c r="AM454" s="303"/>
      <c r="AN454" s="174" t="str">
        <f t="shared" si="62"/>
        <v>Leer</v>
      </c>
    </row>
    <row r="455" spans="1:40" s="174" customFormat="1" ht="15" customHeight="1">
      <c r="A455" s="63"/>
      <c r="B455" s="63"/>
      <c r="C455" s="84"/>
      <c r="D455" s="85"/>
      <c r="E455" s="62"/>
      <c r="F455" s="62"/>
      <c r="G455" s="62"/>
      <c r="H455" s="62"/>
      <c r="I455" s="62"/>
      <c r="J455" s="62"/>
      <c r="K455" s="62"/>
      <c r="L455" s="62"/>
      <c r="M455" s="62"/>
      <c r="N455" s="62"/>
      <c r="O455" s="62"/>
      <c r="P455" s="62"/>
      <c r="Q455" s="62"/>
      <c r="R455" s="62"/>
      <c r="S455" s="258"/>
      <c r="T455" s="248" t="str">
        <f t="shared" si="67"/>
        <v/>
      </c>
      <c r="U455" s="249" t="str">
        <f t="shared" si="68"/>
        <v/>
      </c>
      <c r="V455" s="294" t="str">
        <f t="shared" si="64"/>
        <v/>
      </c>
      <c r="W455" s="294" t="str">
        <f>IF(((E455="")+(F455="")),"",IF(VLOOKUP(F455,Mannschaften!$A$1:$B$54,2,FALSE)&lt;&gt;E455,"Reiter Mannschaften füllen",""))</f>
        <v/>
      </c>
      <c r="X455" s="248" t="str">
        <f>IF(ISBLANK(C455),"",IF((U455&gt;(LOOKUP(E455,WKNrListe,Übersicht!$O$7:$O$46)))+(U455&lt;(LOOKUP(E455,WKNrListe,Übersicht!$P$7:$P$46))),"JG falsch",""))</f>
        <v/>
      </c>
      <c r="Y455" s="255" t="str">
        <f>IF((A455="")*(B455=""),"",IF(ISERROR(MATCH(E455,WKNrListe,0)),"WK falsch",LOOKUP(E455,WKNrListe,Übersicht!$B$7:$B$46)))</f>
        <v/>
      </c>
      <c r="Z455" s="269" t="str">
        <f>IF(((AJ455=0)*(AH455&lt;&gt;"")*(AK455="-"))+((AJ455&lt;&gt;0)*(AH455&lt;&gt;"")*(AK455="-")),IF(AG455="X",Übersicht!$C$70,Übersicht!$C$69),"-")</f>
        <v>-</v>
      </c>
      <c r="AA455" s="252" t="str">
        <f>IF((($A455="")*($B455=""))+((MID($Y455,1,4)&lt;&gt;"Wahl")*(Deckblatt!$C$14='WK-Vorlagen'!$C$82))+(Deckblatt!$C$14&lt;&gt;'WK-Vorlagen'!$C$82),"",IF(ISERROR(MATCH(VALUE(MID(G455,1,2)),Schwierigkeitsstufen!$G$7:$G$19,0)),"Gerät falsch",LOOKUP(VALUE(MID(G455,1,2)),Schwierigkeitsstufen!$G$7:$G$19,Schwierigkeitsstufen!$H$7:$H$19)))</f>
        <v/>
      </c>
      <c r="AB455" s="250" t="str">
        <f>IF((($A455="")*($B455=""))+((MID($Y455,1,4)&lt;&gt;"Wahl")*(Deckblatt!$C$14='WK-Vorlagen'!$C$82))+(Deckblatt!$C$14&lt;&gt;'WK-Vorlagen'!$C$82),"",IF(ISERROR(MATCH(VALUE(MID(H455,1,2)),Schwierigkeitsstufen!$G$7:$G$19,0)),"Gerät falsch",LOOKUP(VALUE(MID(H455,1,2)),Schwierigkeitsstufen!$G$7:$G$19,Schwierigkeitsstufen!$H$7:$H$19)))</f>
        <v/>
      </c>
      <c r="AC455" s="250" t="str">
        <f>IF((($A455="")*($B455=""))+((MID($Y455,1,4)&lt;&gt;"Wahl")*(Deckblatt!$C$14='WK-Vorlagen'!$C$82))+(Deckblatt!$C$14&lt;&gt;'WK-Vorlagen'!$C$82),"",IF(ISERROR(MATCH(VALUE(MID(I455,1,2)),Schwierigkeitsstufen!$G$7:$G$19,0)),"Gerät falsch",LOOKUP(VALUE(MID(I455,1,2)),Schwierigkeitsstufen!$G$7:$G$19,Schwierigkeitsstufen!$H$7:$H$19)))</f>
        <v/>
      </c>
      <c r="AD455" s="251" t="str">
        <f>IF((($A455="")*($B455=""))+((MID($Y455,1,4)&lt;&gt;"Wahl")*(Deckblatt!$C$14='WK-Vorlagen'!$C$82))+(Deckblatt!$C$14&lt;&gt;'WK-Vorlagen'!$C$82),"",IF(ISERROR(MATCH(VALUE(MID(J455,1,2)),Schwierigkeitsstufen!$G$7:$G$19,0)),"Gerät falsch",LOOKUP(VALUE(MID(J455,1,2)),Schwierigkeitsstufen!$G$7:$G$19,Schwierigkeitsstufen!$H$7:$H$19)))</f>
        <v/>
      </c>
      <c r="AE455" s="211"/>
      <c r="AG455" s="221" t="str">
        <f t="shared" si="63"/>
        <v/>
      </c>
      <c r="AH455" s="222" t="str">
        <f t="shared" si="65"/>
        <v/>
      </c>
      <c r="AI455" s="220">
        <f t="shared" ref="AI455:AI518" si="70">MATCH(AH455,AH:AH,0)</f>
        <v>4</v>
      </c>
      <c r="AJ455" s="222">
        <f t="shared" si="66"/>
        <v>0</v>
      </c>
      <c r="AK455" s="299" t="str">
        <f>IF(ISERROR(LOOKUP(E455,WKNrListe,Übersicht!$R$7:$R$46)),"-",LOOKUP(E455,WKNrListe,Übersicht!$R$7:$R$46))</f>
        <v>-</v>
      </c>
      <c r="AL455" s="299" t="str">
        <f t="shared" si="69"/>
        <v>-</v>
      </c>
      <c r="AM455" s="303"/>
      <c r="AN455" s="174" t="str">
        <f t="shared" si="62"/>
        <v>Leer</v>
      </c>
    </row>
    <row r="456" spans="1:40" s="174" customFormat="1" ht="15" customHeight="1">
      <c r="A456" s="63"/>
      <c r="B456" s="63"/>
      <c r="C456" s="84"/>
      <c r="D456" s="85"/>
      <c r="E456" s="62"/>
      <c r="F456" s="62"/>
      <c r="G456" s="62"/>
      <c r="H456" s="62"/>
      <c r="I456" s="62"/>
      <c r="J456" s="62"/>
      <c r="K456" s="62"/>
      <c r="L456" s="62"/>
      <c r="M456" s="62"/>
      <c r="N456" s="62"/>
      <c r="O456" s="62"/>
      <c r="P456" s="62"/>
      <c r="Q456" s="62"/>
      <c r="R456" s="62"/>
      <c r="S456" s="258"/>
      <c r="T456" s="248" t="str">
        <f t="shared" si="67"/>
        <v/>
      </c>
      <c r="U456" s="249" t="str">
        <f t="shared" si="68"/>
        <v/>
      </c>
      <c r="V456" s="294" t="str">
        <f t="shared" si="64"/>
        <v/>
      </c>
      <c r="W456" s="294" t="str">
        <f>IF(((E456="")+(F456="")),"",IF(VLOOKUP(F456,Mannschaften!$A$1:$B$54,2,FALSE)&lt;&gt;E456,"Reiter Mannschaften füllen",""))</f>
        <v/>
      </c>
      <c r="X456" s="248" t="str">
        <f>IF(ISBLANK(C456),"",IF((U456&gt;(LOOKUP(E456,WKNrListe,Übersicht!$O$7:$O$46)))+(U456&lt;(LOOKUP(E456,WKNrListe,Übersicht!$P$7:$P$46))),"JG falsch",""))</f>
        <v/>
      </c>
      <c r="Y456" s="255" t="str">
        <f>IF((A456="")*(B456=""),"",IF(ISERROR(MATCH(E456,WKNrListe,0)),"WK falsch",LOOKUP(E456,WKNrListe,Übersicht!$B$7:$B$46)))</f>
        <v/>
      </c>
      <c r="Z456" s="269" t="str">
        <f>IF(((AJ456=0)*(AH456&lt;&gt;"")*(AK456="-"))+((AJ456&lt;&gt;0)*(AH456&lt;&gt;"")*(AK456="-")),IF(AG456="X",Übersicht!$C$70,Übersicht!$C$69),"-")</f>
        <v>-</v>
      </c>
      <c r="AA456" s="252" t="str">
        <f>IF((($A456="")*($B456=""))+((MID($Y456,1,4)&lt;&gt;"Wahl")*(Deckblatt!$C$14='WK-Vorlagen'!$C$82))+(Deckblatt!$C$14&lt;&gt;'WK-Vorlagen'!$C$82),"",IF(ISERROR(MATCH(VALUE(MID(G456,1,2)),Schwierigkeitsstufen!$G$7:$G$19,0)),"Gerät falsch",LOOKUP(VALUE(MID(G456,1,2)),Schwierigkeitsstufen!$G$7:$G$19,Schwierigkeitsstufen!$H$7:$H$19)))</f>
        <v/>
      </c>
      <c r="AB456" s="250" t="str">
        <f>IF((($A456="")*($B456=""))+((MID($Y456,1,4)&lt;&gt;"Wahl")*(Deckblatt!$C$14='WK-Vorlagen'!$C$82))+(Deckblatt!$C$14&lt;&gt;'WK-Vorlagen'!$C$82),"",IF(ISERROR(MATCH(VALUE(MID(H456,1,2)),Schwierigkeitsstufen!$G$7:$G$19,0)),"Gerät falsch",LOOKUP(VALUE(MID(H456,1,2)),Schwierigkeitsstufen!$G$7:$G$19,Schwierigkeitsstufen!$H$7:$H$19)))</f>
        <v/>
      </c>
      <c r="AC456" s="250" t="str">
        <f>IF((($A456="")*($B456=""))+((MID($Y456,1,4)&lt;&gt;"Wahl")*(Deckblatt!$C$14='WK-Vorlagen'!$C$82))+(Deckblatt!$C$14&lt;&gt;'WK-Vorlagen'!$C$82),"",IF(ISERROR(MATCH(VALUE(MID(I456,1,2)),Schwierigkeitsstufen!$G$7:$G$19,0)),"Gerät falsch",LOOKUP(VALUE(MID(I456,1,2)),Schwierigkeitsstufen!$G$7:$G$19,Schwierigkeitsstufen!$H$7:$H$19)))</f>
        <v/>
      </c>
      <c r="AD456" s="251" t="str">
        <f>IF((($A456="")*($B456=""))+((MID($Y456,1,4)&lt;&gt;"Wahl")*(Deckblatt!$C$14='WK-Vorlagen'!$C$82))+(Deckblatt!$C$14&lt;&gt;'WK-Vorlagen'!$C$82),"",IF(ISERROR(MATCH(VALUE(MID(J456,1,2)),Schwierigkeitsstufen!$G$7:$G$19,0)),"Gerät falsch",LOOKUP(VALUE(MID(J456,1,2)),Schwierigkeitsstufen!$G$7:$G$19,Schwierigkeitsstufen!$H$7:$H$19)))</f>
        <v/>
      </c>
      <c r="AE456" s="211"/>
      <c r="AG456" s="221" t="str">
        <f t="shared" si="63"/>
        <v/>
      </c>
      <c r="AH456" s="222" t="str">
        <f t="shared" si="65"/>
        <v/>
      </c>
      <c r="AI456" s="220">
        <f t="shared" si="70"/>
        <v>4</v>
      </c>
      <c r="AJ456" s="222">
        <f t="shared" si="66"/>
        <v>0</v>
      </c>
      <c r="AK456" s="299" t="str">
        <f>IF(ISERROR(LOOKUP(E456,WKNrListe,Übersicht!$R$7:$R$46)),"-",LOOKUP(E456,WKNrListe,Übersicht!$R$7:$R$46))</f>
        <v>-</v>
      </c>
      <c r="AL456" s="299" t="str">
        <f t="shared" si="69"/>
        <v>-</v>
      </c>
      <c r="AM456" s="303"/>
      <c r="AN456" s="174" t="str">
        <f t="shared" si="62"/>
        <v>Leer</v>
      </c>
    </row>
    <row r="457" spans="1:40" s="174" customFormat="1" ht="15" customHeight="1">
      <c r="A457" s="63"/>
      <c r="B457" s="63"/>
      <c r="C457" s="84"/>
      <c r="D457" s="85"/>
      <c r="E457" s="62"/>
      <c r="F457" s="62"/>
      <c r="G457" s="62"/>
      <c r="H457" s="62"/>
      <c r="I457" s="62"/>
      <c r="J457" s="62"/>
      <c r="K457" s="62"/>
      <c r="L457" s="62"/>
      <c r="M457" s="62"/>
      <c r="N457" s="62"/>
      <c r="O457" s="62"/>
      <c r="P457" s="62"/>
      <c r="Q457" s="62"/>
      <c r="R457" s="62"/>
      <c r="S457" s="258"/>
      <c r="T457" s="248" t="str">
        <f t="shared" si="67"/>
        <v/>
      </c>
      <c r="U457" s="249" t="str">
        <f t="shared" si="68"/>
        <v/>
      </c>
      <c r="V457" s="294" t="str">
        <f t="shared" si="64"/>
        <v/>
      </c>
      <c r="W457" s="294" t="str">
        <f>IF(((E457="")+(F457="")),"",IF(VLOOKUP(F457,Mannschaften!$A$1:$B$54,2,FALSE)&lt;&gt;E457,"Reiter Mannschaften füllen",""))</f>
        <v/>
      </c>
      <c r="X457" s="248" t="str">
        <f>IF(ISBLANK(C457),"",IF((U457&gt;(LOOKUP(E457,WKNrListe,Übersicht!$O$7:$O$46)))+(U457&lt;(LOOKUP(E457,WKNrListe,Übersicht!$P$7:$P$46))),"JG falsch",""))</f>
        <v/>
      </c>
      <c r="Y457" s="255" t="str">
        <f>IF((A457="")*(B457=""),"",IF(ISERROR(MATCH(E457,WKNrListe,0)),"WK falsch",LOOKUP(E457,WKNrListe,Übersicht!$B$7:$B$46)))</f>
        <v/>
      </c>
      <c r="Z457" s="269" t="str">
        <f>IF(((AJ457=0)*(AH457&lt;&gt;"")*(AK457="-"))+((AJ457&lt;&gt;0)*(AH457&lt;&gt;"")*(AK457="-")),IF(AG457="X",Übersicht!$C$70,Übersicht!$C$69),"-")</f>
        <v>-</v>
      </c>
      <c r="AA457" s="252" t="str">
        <f>IF((($A457="")*($B457=""))+((MID($Y457,1,4)&lt;&gt;"Wahl")*(Deckblatt!$C$14='WK-Vorlagen'!$C$82))+(Deckblatt!$C$14&lt;&gt;'WK-Vorlagen'!$C$82),"",IF(ISERROR(MATCH(VALUE(MID(G457,1,2)),Schwierigkeitsstufen!$G$7:$G$19,0)),"Gerät falsch",LOOKUP(VALUE(MID(G457,1,2)),Schwierigkeitsstufen!$G$7:$G$19,Schwierigkeitsstufen!$H$7:$H$19)))</f>
        <v/>
      </c>
      <c r="AB457" s="250" t="str">
        <f>IF((($A457="")*($B457=""))+((MID($Y457,1,4)&lt;&gt;"Wahl")*(Deckblatt!$C$14='WK-Vorlagen'!$C$82))+(Deckblatt!$C$14&lt;&gt;'WK-Vorlagen'!$C$82),"",IF(ISERROR(MATCH(VALUE(MID(H457,1,2)),Schwierigkeitsstufen!$G$7:$G$19,0)),"Gerät falsch",LOOKUP(VALUE(MID(H457,1,2)),Schwierigkeitsstufen!$G$7:$G$19,Schwierigkeitsstufen!$H$7:$H$19)))</f>
        <v/>
      </c>
      <c r="AC457" s="250" t="str">
        <f>IF((($A457="")*($B457=""))+((MID($Y457,1,4)&lt;&gt;"Wahl")*(Deckblatt!$C$14='WK-Vorlagen'!$C$82))+(Deckblatt!$C$14&lt;&gt;'WK-Vorlagen'!$C$82),"",IF(ISERROR(MATCH(VALUE(MID(I457,1,2)),Schwierigkeitsstufen!$G$7:$G$19,0)),"Gerät falsch",LOOKUP(VALUE(MID(I457,1,2)),Schwierigkeitsstufen!$G$7:$G$19,Schwierigkeitsstufen!$H$7:$H$19)))</f>
        <v/>
      </c>
      <c r="AD457" s="251" t="str">
        <f>IF((($A457="")*($B457=""))+((MID($Y457,1,4)&lt;&gt;"Wahl")*(Deckblatt!$C$14='WK-Vorlagen'!$C$82))+(Deckblatt!$C$14&lt;&gt;'WK-Vorlagen'!$C$82),"",IF(ISERROR(MATCH(VALUE(MID(J457,1,2)),Schwierigkeitsstufen!$G$7:$G$19,0)),"Gerät falsch",LOOKUP(VALUE(MID(J457,1,2)),Schwierigkeitsstufen!$G$7:$G$19,Schwierigkeitsstufen!$H$7:$H$19)))</f>
        <v/>
      </c>
      <c r="AE457" s="211"/>
      <c r="AG457" s="221" t="str">
        <f t="shared" si="63"/>
        <v/>
      </c>
      <c r="AH457" s="222" t="str">
        <f t="shared" si="65"/>
        <v/>
      </c>
      <c r="AI457" s="220">
        <f t="shared" si="70"/>
        <v>4</v>
      </c>
      <c r="AJ457" s="222">
        <f t="shared" si="66"/>
        <v>0</v>
      </c>
      <c r="AK457" s="299" t="str">
        <f>IF(ISERROR(LOOKUP(E457,WKNrListe,Übersicht!$R$7:$R$46)),"-",LOOKUP(E457,WKNrListe,Übersicht!$R$7:$R$46))</f>
        <v>-</v>
      </c>
      <c r="AL457" s="299" t="str">
        <f t="shared" si="69"/>
        <v>-</v>
      </c>
      <c r="AM457" s="303"/>
      <c r="AN457" s="174" t="str">
        <f t="shared" si="62"/>
        <v>Leer</v>
      </c>
    </row>
    <row r="458" spans="1:40" s="174" customFormat="1" ht="15" customHeight="1">
      <c r="A458" s="63"/>
      <c r="B458" s="63"/>
      <c r="C458" s="84"/>
      <c r="D458" s="85"/>
      <c r="E458" s="62"/>
      <c r="F458" s="62"/>
      <c r="G458" s="62"/>
      <c r="H458" s="62"/>
      <c r="I458" s="62"/>
      <c r="J458" s="62"/>
      <c r="K458" s="62"/>
      <c r="L458" s="62"/>
      <c r="M458" s="62"/>
      <c r="N458" s="62"/>
      <c r="O458" s="62"/>
      <c r="P458" s="62"/>
      <c r="Q458" s="62"/>
      <c r="R458" s="62"/>
      <c r="S458" s="258"/>
      <c r="T458" s="248" t="str">
        <f t="shared" si="67"/>
        <v/>
      </c>
      <c r="U458" s="249" t="str">
        <f t="shared" si="68"/>
        <v/>
      </c>
      <c r="V458" s="294" t="str">
        <f t="shared" si="64"/>
        <v/>
      </c>
      <c r="W458" s="294" t="str">
        <f>IF(((E458="")+(F458="")),"",IF(VLOOKUP(F458,Mannschaften!$A$1:$B$54,2,FALSE)&lt;&gt;E458,"Reiter Mannschaften füllen",""))</f>
        <v/>
      </c>
      <c r="X458" s="248" t="str">
        <f>IF(ISBLANK(C458),"",IF((U458&gt;(LOOKUP(E458,WKNrListe,Übersicht!$O$7:$O$46)))+(U458&lt;(LOOKUP(E458,WKNrListe,Übersicht!$P$7:$P$46))),"JG falsch",""))</f>
        <v/>
      </c>
      <c r="Y458" s="255" t="str">
        <f>IF((A458="")*(B458=""),"",IF(ISERROR(MATCH(E458,WKNrListe,0)),"WK falsch",LOOKUP(E458,WKNrListe,Übersicht!$B$7:$B$46)))</f>
        <v/>
      </c>
      <c r="Z458" s="269" t="str">
        <f>IF(((AJ458=0)*(AH458&lt;&gt;"")*(AK458="-"))+((AJ458&lt;&gt;0)*(AH458&lt;&gt;"")*(AK458="-")),IF(AG458="X",Übersicht!$C$70,Übersicht!$C$69),"-")</f>
        <v>-</v>
      </c>
      <c r="AA458" s="252" t="str">
        <f>IF((($A458="")*($B458=""))+((MID($Y458,1,4)&lt;&gt;"Wahl")*(Deckblatt!$C$14='WK-Vorlagen'!$C$82))+(Deckblatt!$C$14&lt;&gt;'WK-Vorlagen'!$C$82),"",IF(ISERROR(MATCH(VALUE(MID(G458,1,2)),Schwierigkeitsstufen!$G$7:$G$19,0)),"Gerät falsch",LOOKUP(VALUE(MID(G458,1,2)),Schwierigkeitsstufen!$G$7:$G$19,Schwierigkeitsstufen!$H$7:$H$19)))</f>
        <v/>
      </c>
      <c r="AB458" s="250" t="str">
        <f>IF((($A458="")*($B458=""))+((MID($Y458,1,4)&lt;&gt;"Wahl")*(Deckblatt!$C$14='WK-Vorlagen'!$C$82))+(Deckblatt!$C$14&lt;&gt;'WK-Vorlagen'!$C$82),"",IF(ISERROR(MATCH(VALUE(MID(H458,1,2)),Schwierigkeitsstufen!$G$7:$G$19,0)),"Gerät falsch",LOOKUP(VALUE(MID(H458,1,2)),Schwierigkeitsstufen!$G$7:$G$19,Schwierigkeitsstufen!$H$7:$H$19)))</f>
        <v/>
      </c>
      <c r="AC458" s="250" t="str">
        <f>IF((($A458="")*($B458=""))+((MID($Y458,1,4)&lt;&gt;"Wahl")*(Deckblatt!$C$14='WK-Vorlagen'!$C$82))+(Deckblatt!$C$14&lt;&gt;'WK-Vorlagen'!$C$82),"",IF(ISERROR(MATCH(VALUE(MID(I458,1,2)),Schwierigkeitsstufen!$G$7:$G$19,0)),"Gerät falsch",LOOKUP(VALUE(MID(I458,1,2)),Schwierigkeitsstufen!$G$7:$G$19,Schwierigkeitsstufen!$H$7:$H$19)))</f>
        <v/>
      </c>
      <c r="AD458" s="251" t="str">
        <f>IF((($A458="")*($B458=""))+((MID($Y458,1,4)&lt;&gt;"Wahl")*(Deckblatt!$C$14='WK-Vorlagen'!$C$82))+(Deckblatt!$C$14&lt;&gt;'WK-Vorlagen'!$C$82),"",IF(ISERROR(MATCH(VALUE(MID(J458,1,2)),Schwierigkeitsstufen!$G$7:$G$19,0)),"Gerät falsch",LOOKUP(VALUE(MID(J458,1,2)),Schwierigkeitsstufen!$G$7:$G$19,Schwierigkeitsstufen!$H$7:$H$19)))</f>
        <v/>
      </c>
      <c r="AE458" s="211"/>
      <c r="AG458" s="221" t="str">
        <f t="shared" si="63"/>
        <v/>
      </c>
      <c r="AH458" s="222" t="str">
        <f t="shared" si="65"/>
        <v/>
      </c>
      <c r="AI458" s="220">
        <f t="shared" si="70"/>
        <v>4</v>
      </c>
      <c r="AJ458" s="222">
        <f t="shared" si="66"/>
        <v>0</v>
      </c>
      <c r="AK458" s="299" t="str">
        <f>IF(ISERROR(LOOKUP(E458,WKNrListe,Übersicht!$R$7:$R$46)),"-",LOOKUP(E458,WKNrListe,Übersicht!$R$7:$R$46))</f>
        <v>-</v>
      </c>
      <c r="AL458" s="299" t="str">
        <f t="shared" si="69"/>
        <v>-</v>
      </c>
      <c r="AM458" s="303"/>
      <c r="AN458" s="174" t="str">
        <f t="shared" si="62"/>
        <v>Leer</v>
      </c>
    </row>
    <row r="459" spans="1:40" s="174" customFormat="1" ht="15" customHeight="1">
      <c r="A459" s="63"/>
      <c r="B459" s="63"/>
      <c r="C459" s="84"/>
      <c r="D459" s="85"/>
      <c r="E459" s="62"/>
      <c r="F459" s="62"/>
      <c r="G459" s="62"/>
      <c r="H459" s="62"/>
      <c r="I459" s="62"/>
      <c r="J459" s="62"/>
      <c r="K459" s="62"/>
      <c r="L459" s="62"/>
      <c r="M459" s="62"/>
      <c r="N459" s="62"/>
      <c r="O459" s="62"/>
      <c r="P459" s="62"/>
      <c r="Q459" s="62"/>
      <c r="R459" s="62"/>
      <c r="S459" s="258"/>
      <c r="T459" s="248" t="str">
        <f t="shared" si="67"/>
        <v/>
      </c>
      <c r="U459" s="249" t="str">
        <f t="shared" si="68"/>
        <v/>
      </c>
      <c r="V459" s="294" t="str">
        <f t="shared" si="64"/>
        <v/>
      </c>
      <c r="W459" s="294" t="str">
        <f>IF(((E459="")+(F459="")),"",IF(VLOOKUP(F459,Mannschaften!$A$1:$B$54,2,FALSE)&lt;&gt;E459,"Reiter Mannschaften füllen",""))</f>
        <v/>
      </c>
      <c r="X459" s="248" t="str">
        <f>IF(ISBLANK(C459),"",IF((U459&gt;(LOOKUP(E459,WKNrListe,Übersicht!$O$7:$O$46)))+(U459&lt;(LOOKUP(E459,WKNrListe,Übersicht!$P$7:$P$46))),"JG falsch",""))</f>
        <v/>
      </c>
      <c r="Y459" s="255" t="str">
        <f>IF((A459="")*(B459=""),"",IF(ISERROR(MATCH(E459,WKNrListe,0)),"WK falsch",LOOKUP(E459,WKNrListe,Übersicht!$B$7:$B$46)))</f>
        <v/>
      </c>
      <c r="Z459" s="269" t="str">
        <f>IF(((AJ459=0)*(AH459&lt;&gt;"")*(AK459="-"))+((AJ459&lt;&gt;0)*(AH459&lt;&gt;"")*(AK459="-")),IF(AG459="X",Übersicht!$C$70,Übersicht!$C$69),"-")</f>
        <v>-</v>
      </c>
      <c r="AA459" s="252" t="str">
        <f>IF((($A459="")*($B459=""))+((MID($Y459,1,4)&lt;&gt;"Wahl")*(Deckblatt!$C$14='WK-Vorlagen'!$C$82))+(Deckblatt!$C$14&lt;&gt;'WK-Vorlagen'!$C$82),"",IF(ISERROR(MATCH(VALUE(MID(G459,1,2)),Schwierigkeitsstufen!$G$7:$G$19,0)),"Gerät falsch",LOOKUP(VALUE(MID(G459,1,2)),Schwierigkeitsstufen!$G$7:$G$19,Schwierigkeitsstufen!$H$7:$H$19)))</f>
        <v/>
      </c>
      <c r="AB459" s="250" t="str">
        <f>IF((($A459="")*($B459=""))+((MID($Y459,1,4)&lt;&gt;"Wahl")*(Deckblatt!$C$14='WK-Vorlagen'!$C$82))+(Deckblatt!$C$14&lt;&gt;'WK-Vorlagen'!$C$82),"",IF(ISERROR(MATCH(VALUE(MID(H459,1,2)),Schwierigkeitsstufen!$G$7:$G$19,0)),"Gerät falsch",LOOKUP(VALUE(MID(H459,1,2)),Schwierigkeitsstufen!$G$7:$G$19,Schwierigkeitsstufen!$H$7:$H$19)))</f>
        <v/>
      </c>
      <c r="AC459" s="250" t="str">
        <f>IF((($A459="")*($B459=""))+((MID($Y459,1,4)&lt;&gt;"Wahl")*(Deckblatt!$C$14='WK-Vorlagen'!$C$82))+(Deckblatt!$C$14&lt;&gt;'WK-Vorlagen'!$C$82),"",IF(ISERROR(MATCH(VALUE(MID(I459,1,2)),Schwierigkeitsstufen!$G$7:$G$19,0)),"Gerät falsch",LOOKUP(VALUE(MID(I459,1,2)),Schwierigkeitsstufen!$G$7:$G$19,Schwierigkeitsstufen!$H$7:$H$19)))</f>
        <v/>
      </c>
      <c r="AD459" s="251" t="str">
        <f>IF((($A459="")*($B459=""))+((MID($Y459,1,4)&lt;&gt;"Wahl")*(Deckblatt!$C$14='WK-Vorlagen'!$C$82))+(Deckblatt!$C$14&lt;&gt;'WK-Vorlagen'!$C$82),"",IF(ISERROR(MATCH(VALUE(MID(J459,1,2)),Schwierigkeitsstufen!$G$7:$G$19,0)),"Gerät falsch",LOOKUP(VALUE(MID(J459,1,2)),Schwierigkeitsstufen!$G$7:$G$19,Schwierigkeitsstufen!$H$7:$H$19)))</f>
        <v/>
      </c>
      <c r="AE459" s="211"/>
      <c r="AG459" s="221" t="str">
        <f t="shared" si="63"/>
        <v/>
      </c>
      <c r="AH459" s="222" t="str">
        <f t="shared" si="65"/>
        <v/>
      </c>
      <c r="AI459" s="220">
        <f t="shared" si="70"/>
        <v>4</v>
      </c>
      <c r="AJ459" s="222">
        <f t="shared" si="66"/>
        <v>0</v>
      </c>
      <c r="AK459" s="299" t="str">
        <f>IF(ISERROR(LOOKUP(E459,WKNrListe,Übersicht!$R$7:$R$46)),"-",LOOKUP(E459,WKNrListe,Übersicht!$R$7:$R$46))</f>
        <v>-</v>
      </c>
      <c r="AL459" s="299" t="str">
        <f t="shared" si="69"/>
        <v>-</v>
      </c>
      <c r="AM459" s="303"/>
      <c r="AN459" s="174" t="str">
        <f t="shared" si="62"/>
        <v>Leer</v>
      </c>
    </row>
    <row r="460" spans="1:40" s="174" customFormat="1" ht="15" customHeight="1">
      <c r="A460" s="63"/>
      <c r="B460" s="63"/>
      <c r="C460" s="84"/>
      <c r="D460" s="85"/>
      <c r="E460" s="62"/>
      <c r="F460" s="62"/>
      <c r="G460" s="62"/>
      <c r="H460" s="62"/>
      <c r="I460" s="62"/>
      <c r="J460" s="62"/>
      <c r="K460" s="62"/>
      <c r="L460" s="62"/>
      <c r="M460" s="62"/>
      <c r="N460" s="62"/>
      <c r="O460" s="62"/>
      <c r="P460" s="62"/>
      <c r="Q460" s="62"/>
      <c r="R460" s="62"/>
      <c r="S460" s="258"/>
      <c r="T460" s="248" t="str">
        <f t="shared" si="67"/>
        <v/>
      </c>
      <c r="U460" s="249" t="str">
        <f t="shared" si="68"/>
        <v/>
      </c>
      <c r="V460" s="294" t="str">
        <f t="shared" si="64"/>
        <v/>
      </c>
      <c r="W460" s="294" t="str">
        <f>IF(((E460="")+(F460="")),"",IF(VLOOKUP(F460,Mannschaften!$A$1:$B$54,2,FALSE)&lt;&gt;E460,"Reiter Mannschaften füllen",""))</f>
        <v/>
      </c>
      <c r="X460" s="248" t="str">
        <f>IF(ISBLANK(C460),"",IF((U460&gt;(LOOKUP(E460,WKNrListe,Übersicht!$O$7:$O$46)))+(U460&lt;(LOOKUP(E460,WKNrListe,Übersicht!$P$7:$P$46))),"JG falsch",""))</f>
        <v/>
      </c>
      <c r="Y460" s="255" t="str">
        <f>IF((A460="")*(B460=""),"",IF(ISERROR(MATCH(E460,WKNrListe,0)),"WK falsch",LOOKUP(E460,WKNrListe,Übersicht!$B$7:$B$46)))</f>
        <v/>
      </c>
      <c r="Z460" s="269" t="str">
        <f>IF(((AJ460=0)*(AH460&lt;&gt;"")*(AK460="-"))+((AJ460&lt;&gt;0)*(AH460&lt;&gt;"")*(AK460="-")),IF(AG460="X",Übersicht!$C$70,Übersicht!$C$69),"-")</f>
        <v>-</v>
      </c>
      <c r="AA460" s="252" t="str">
        <f>IF((($A460="")*($B460=""))+((MID($Y460,1,4)&lt;&gt;"Wahl")*(Deckblatt!$C$14='WK-Vorlagen'!$C$82))+(Deckblatt!$C$14&lt;&gt;'WK-Vorlagen'!$C$82),"",IF(ISERROR(MATCH(VALUE(MID(G460,1,2)),Schwierigkeitsstufen!$G$7:$G$19,0)),"Gerät falsch",LOOKUP(VALUE(MID(G460,1,2)),Schwierigkeitsstufen!$G$7:$G$19,Schwierigkeitsstufen!$H$7:$H$19)))</f>
        <v/>
      </c>
      <c r="AB460" s="250" t="str">
        <f>IF((($A460="")*($B460=""))+((MID($Y460,1,4)&lt;&gt;"Wahl")*(Deckblatt!$C$14='WK-Vorlagen'!$C$82))+(Deckblatt!$C$14&lt;&gt;'WK-Vorlagen'!$C$82),"",IF(ISERROR(MATCH(VALUE(MID(H460,1,2)),Schwierigkeitsstufen!$G$7:$G$19,0)),"Gerät falsch",LOOKUP(VALUE(MID(H460,1,2)),Schwierigkeitsstufen!$G$7:$G$19,Schwierigkeitsstufen!$H$7:$H$19)))</f>
        <v/>
      </c>
      <c r="AC460" s="250" t="str">
        <f>IF((($A460="")*($B460=""))+((MID($Y460,1,4)&lt;&gt;"Wahl")*(Deckblatt!$C$14='WK-Vorlagen'!$C$82))+(Deckblatt!$C$14&lt;&gt;'WK-Vorlagen'!$C$82),"",IF(ISERROR(MATCH(VALUE(MID(I460,1,2)),Schwierigkeitsstufen!$G$7:$G$19,0)),"Gerät falsch",LOOKUP(VALUE(MID(I460,1,2)),Schwierigkeitsstufen!$G$7:$G$19,Schwierigkeitsstufen!$H$7:$H$19)))</f>
        <v/>
      </c>
      <c r="AD460" s="251" t="str">
        <f>IF((($A460="")*($B460=""))+((MID($Y460,1,4)&lt;&gt;"Wahl")*(Deckblatt!$C$14='WK-Vorlagen'!$C$82))+(Deckblatt!$C$14&lt;&gt;'WK-Vorlagen'!$C$82),"",IF(ISERROR(MATCH(VALUE(MID(J460,1,2)),Schwierigkeitsstufen!$G$7:$G$19,0)),"Gerät falsch",LOOKUP(VALUE(MID(J460,1,2)),Schwierigkeitsstufen!$G$7:$G$19,Schwierigkeitsstufen!$H$7:$H$19)))</f>
        <v/>
      </c>
      <c r="AE460" s="211"/>
      <c r="AG460" s="221" t="str">
        <f t="shared" si="63"/>
        <v/>
      </c>
      <c r="AH460" s="222" t="str">
        <f t="shared" si="65"/>
        <v/>
      </c>
      <c r="AI460" s="220">
        <f t="shared" si="70"/>
        <v>4</v>
      </c>
      <c r="AJ460" s="222">
        <f t="shared" si="66"/>
        <v>0</v>
      </c>
      <c r="AK460" s="299" t="str">
        <f>IF(ISERROR(LOOKUP(E460,WKNrListe,Übersicht!$R$7:$R$46)),"-",LOOKUP(E460,WKNrListe,Übersicht!$R$7:$R$46))</f>
        <v>-</v>
      </c>
      <c r="AL460" s="299" t="str">
        <f t="shared" si="69"/>
        <v>-</v>
      </c>
      <c r="AM460" s="303"/>
      <c r="AN460" s="174" t="str">
        <f t="shared" si="62"/>
        <v>Leer</v>
      </c>
    </row>
    <row r="461" spans="1:40" s="174" customFormat="1" ht="15" customHeight="1">
      <c r="A461" s="63"/>
      <c r="B461" s="63"/>
      <c r="C461" s="84"/>
      <c r="D461" s="85"/>
      <c r="E461" s="62"/>
      <c r="F461" s="62"/>
      <c r="G461" s="62"/>
      <c r="H461" s="62"/>
      <c r="I461" s="62"/>
      <c r="J461" s="62"/>
      <c r="K461" s="62"/>
      <c r="L461" s="62"/>
      <c r="M461" s="62"/>
      <c r="N461" s="62"/>
      <c r="O461" s="62"/>
      <c r="P461" s="62"/>
      <c r="Q461" s="62"/>
      <c r="R461" s="62"/>
      <c r="S461" s="258"/>
      <c r="T461" s="248" t="str">
        <f t="shared" si="67"/>
        <v/>
      </c>
      <c r="U461" s="249" t="str">
        <f t="shared" si="68"/>
        <v/>
      </c>
      <c r="V461" s="294" t="str">
        <f t="shared" si="64"/>
        <v/>
      </c>
      <c r="W461" s="294" t="str">
        <f>IF(((E461="")+(F461="")),"",IF(VLOOKUP(F461,Mannschaften!$A$1:$B$54,2,FALSE)&lt;&gt;E461,"Reiter Mannschaften füllen",""))</f>
        <v/>
      </c>
      <c r="X461" s="248" t="str">
        <f>IF(ISBLANK(C461),"",IF((U461&gt;(LOOKUP(E461,WKNrListe,Übersicht!$O$7:$O$46)))+(U461&lt;(LOOKUP(E461,WKNrListe,Übersicht!$P$7:$P$46))),"JG falsch",""))</f>
        <v/>
      </c>
      <c r="Y461" s="255" t="str">
        <f>IF((A461="")*(B461=""),"",IF(ISERROR(MATCH(E461,WKNrListe,0)),"WK falsch",LOOKUP(E461,WKNrListe,Übersicht!$B$7:$B$46)))</f>
        <v/>
      </c>
      <c r="Z461" s="269" t="str">
        <f>IF(((AJ461=0)*(AH461&lt;&gt;"")*(AK461="-"))+((AJ461&lt;&gt;0)*(AH461&lt;&gt;"")*(AK461="-")),IF(AG461="X",Übersicht!$C$70,Übersicht!$C$69),"-")</f>
        <v>-</v>
      </c>
      <c r="AA461" s="252" t="str">
        <f>IF((($A461="")*($B461=""))+((MID($Y461,1,4)&lt;&gt;"Wahl")*(Deckblatt!$C$14='WK-Vorlagen'!$C$82))+(Deckblatt!$C$14&lt;&gt;'WK-Vorlagen'!$C$82),"",IF(ISERROR(MATCH(VALUE(MID(G461,1,2)),Schwierigkeitsstufen!$G$7:$G$19,0)),"Gerät falsch",LOOKUP(VALUE(MID(G461,1,2)),Schwierigkeitsstufen!$G$7:$G$19,Schwierigkeitsstufen!$H$7:$H$19)))</f>
        <v/>
      </c>
      <c r="AB461" s="250" t="str">
        <f>IF((($A461="")*($B461=""))+((MID($Y461,1,4)&lt;&gt;"Wahl")*(Deckblatt!$C$14='WK-Vorlagen'!$C$82))+(Deckblatt!$C$14&lt;&gt;'WK-Vorlagen'!$C$82),"",IF(ISERROR(MATCH(VALUE(MID(H461,1,2)),Schwierigkeitsstufen!$G$7:$G$19,0)),"Gerät falsch",LOOKUP(VALUE(MID(H461,1,2)),Schwierigkeitsstufen!$G$7:$G$19,Schwierigkeitsstufen!$H$7:$H$19)))</f>
        <v/>
      </c>
      <c r="AC461" s="250" t="str">
        <f>IF((($A461="")*($B461=""))+((MID($Y461,1,4)&lt;&gt;"Wahl")*(Deckblatt!$C$14='WK-Vorlagen'!$C$82))+(Deckblatt!$C$14&lt;&gt;'WK-Vorlagen'!$C$82),"",IF(ISERROR(MATCH(VALUE(MID(I461,1,2)),Schwierigkeitsstufen!$G$7:$G$19,0)),"Gerät falsch",LOOKUP(VALUE(MID(I461,1,2)),Schwierigkeitsstufen!$G$7:$G$19,Schwierigkeitsstufen!$H$7:$H$19)))</f>
        <v/>
      </c>
      <c r="AD461" s="251" t="str">
        <f>IF((($A461="")*($B461=""))+((MID($Y461,1,4)&lt;&gt;"Wahl")*(Deckblatt!$C$14='WK-Vorlagen'!$C$82))+(Deckblatt!$C$14&lt;&gt;'WK-Vorlagen'!$C$82),"",IF(ISERROR(MATCH(VALUE(MID(J461,1,2)),Schwierigkeitsstufen!$G$7:$G$19,0)),"Gerät falsch",LOOKUP(VALUE(MID(J461,1,2)),Schwierigkeitsstufen!$G$7:$G$19,Schwierigkeitsstufen!$H$7:$H$19)))</f>
        <v/>
      </c>
      <c r="AE461" s="211"/>
      <c r="AG461" s="221" t="str">
        <f t="shared" si="63"/>
        <v/>
      </c>
      <c r="AH461" s="222" t="str">
        <f t="shared" si="65"/>
        <v/>
      </c>
      <c r="AI461" s="220">
        <f t="shared" si="70"/>
        <v>4</v>
      </c>
      <c r="AJ461" s="222">
        <f t="shared" si="66"/>
        <v>0</v>
      </c>
      <c r="AK461" s="299" t="str">
        <f>IF(ISERROR(LOOKUP(E461,WKNrListe,Übersicht!$R$7:$R$46)),"-",LOOKUP(E461,WKNrListe,Übersicht!$R$7:$R$46))</f>
        <v>-</v>
      </c>
      <c r="AL461" s="299" t="str">
        <f t="shared" si="69"/>
        <v>-</v>
      </c>
      <c r="AM461" s="303"/>
      <c r="AN461" s="174" t="str">
        <f t="shared" si="62"/>
        <v>Leer</v>
      </c>
    </row>
    <row r="462" spans="1:40" s="174" customFormat="1" ht="15" customHeight="1">
      <c r="A462" s="63"/>
      <c r="B462" s="63"/>
      <c r="C462" s="84"/>
      <c r="D462" s="85"/>
      <c r="E462" s="62"/>
      <c r="F462" s="62"/>
      <c r="G462" s="62"/>
      <c r="H462" s="62"/>
      <c r="I462" s="62"/>
      <c r="J462" s="62"/>
      <c r="K462" s="62"/>
      <c r="L462" s="62"/>
      <c r="M462" s="62"/>
      <c r="N462" s="62"/>
      <c r="O462" s="62"/>
      <c r="P462" s="62"/>
      <c r="Q462" s="62"/>
      <c r="R462" s="62"/>
      <c r="S462" s="258"/>
      <c r="T462" s="248" t="str">
        <f t="shared" si="67"/>
        <v/>
      </c>
      <c r="U462" s="249" t="str">
        <f t="shared" si="68"/>
        <v/>
      </c>
      <c r="V462" s="294" t="str">
        <f t="shared" si="64"/>
        <v/>
      </c>
      <c r="W462" s="294" t="str">
        <f>IF(((E462="")+(F462="")),"",IF(VLOOKUP(F462,Mannschaften!$A$1:$B$54,2,FALSE)&lt;&gt;E462,"Reiter Mannschaften füllen",""))</f>
        <v/>
      </c>
      <c r="X462" s="248" t="str">
        <f>IF(ISBLANK(C462),"",IF((U462&gt;(LOOKUP(E462,WKNrListe,Übersicht!$O$7:$O$46)))+(U462&lt;(LOOKUP(E462,WKNrListe,Übersicht!$P$7:$P$46))),"JG falsch",""))</f>
        <v/>
      </c>
      <c r="Y462" s="255" t="str">
        <f>IF((A462="")*(B462=""),"",IF(ISERROR(MATCH(E462,WKNrListe,0)),"WK falsch",LOOKUP(E462,WKNrListe,Übersicht!$B$7:$B$46)))</f>
        <v/>
      </c>
      <c r="Z462" s="269" t="str">
        <f>IF(((AJ462=0)*(AH462&lt;&gt;"")*(AK462="-"))+((AJ462&lt;&gt;0)*(AH462&lt;&gt;"")*(AK462="-")),IF(AG462="X",Übersicht!$C$70,Übersicht!$C$69),"-")</f>
        <v>-</v>
      </c>
      <c r="AA462" s="252" t="str">
        <f>IF((($A462="")*($B462=""))+((MID($Y462,1,4)&lt;&gt;"Wahl")*(Deckblatt!$C$14='WK-Vorlagen'!$C$82))+(Deckblatt!$C$14&lt;&gt;'WK-Vorlagen'!$C$82),"",IF(ISERROR(MATCH(VALUE(MID(G462,1,2)),Schwierigkeitsstufen!$G$7:$G$19,0)),"Gerät falsch",LOOKUP(VALUE(MID(G462,1,2)),Schwierigkeitsstufen!$G$7:$G$19,Schwierigkeitsstufen!$H$7:$H$19)))</f>
        <v/>
      </c>
      <c r="AB462" s="250" t="str">
        <f>IF((($A462="")*($B462=""))+((MID($Y462,1,4)&lt;&gt;"Wahl")*(Deckblatt!$C$14='WK-Vorlagen'!$C$82))+(Deckblatt!$C$14&lt;&gt;'WK-Vorlagen'!$C$82),"",IF(ISERROR(MATCH(VALUE(MID(H462,1,2)),Schwierigkeitsstufen!$G$7:$G$19,0)),"Gerät falsch",LOOKUP(VALUE(MID(H462,1,2)),Schwierigkeitsstufen!$G$7:$G$19,Schwierigkeitsstufen!$H$7:$H$19)))</f>
        <v/>
      </c>
      <c r="AC462" s="250" t="str">
        <f>IF((($A462="")*($B462=""))+((MID($Y462,1,4)&lt;&gt;"Wahl")*(Deckblatt!$C$14='WK-Vorlagen'!$C$82))+(Deckblatt!$C$14&lt;&gt;'WK-Vorlagen'!$C$82),"",IF(ISERROR(MATCH(VALUE(MID(I462,1,2)),Schwierigkeitsstufen!$G$7:$G$19,0)),"Gerät falsch",LOOKUP(VALUE(MID(I462,1,2)),Schwierigkeitsstufen!$G$7:$G$19,Schwierigkeitsstufen!$H$7:$H$19)))</f>
        <v/>
      </c>
      <c r="AD462" s="251" t="str">
        <f>IF((($A462="")*($B462=""))+((MID($Y462,1,4)&lt;&gt;"Wahl")*(Deckblatt!$C$14='WK-Vorlagen'!$C$82))+(Deckblatt!$C$14&lt;&gt;'WK-Vorlagen'!$C$82),"",IF(ISERROR(MATCH(VALUE(MID(J462,1,2)),Schwierigkeitsstufen!$G$7:$G$19,0)),"Gerät falsch",LOOKUP(VALUE(MID(J462,1,2)),Schwierigkeitsstufen!$G$7:$G$19,Schwierigkeitsstufen!$H$7:$H$19)))</f>
        <v/>
      </c>
      <c r="AE462" s="211"/>
      <c r="AG462" s="221" t="str">
        <f t="shared" si="63"/>
        <v/>
      </c>
      <c r="AH462" s="222" t="str">
        <f t="shared" si="65"/>
        <v/>
      </c>
      <c r="AI462" s="220">
        <f t="shared" si="70"/>
        <v>4</v>
      </c>
      <c r="AJ462" s="222">
        <f t="shared" si="66"/>
        <v>0</v>
      </c>
      <c r="AK462" s="299" t="str">
        <f>IF(ISERROR(LOOKUP(E462,WKNrListe,Übersicht!$R$7:$R$46)),"-",LOOKUP(E462,WKNrListe,Übersicht!$R$7:$R$46))</f>
        <v>-</v>
      </c>
      <c r="AL462" s="299" t="str">
        <f t="shared" si="69"/>
        <v>-</v>
      </c>
      <c r="AM462" s="303"/>
      <c r="AN462" s="174" t="str">
        <f t="shared" si="62"/>
        <v>Leer</v>
      </c>
    </row>
    <row r="463" spans="1:40" s="174" customFormat="1" ht="15" customHeight="1">
      <c r="A463" s="63"/>
      <c r="B463" s="63"/>
      <c r="C463" s="84"/>
      <c r="D463" s="85"/>
      <c r="E463" s="62"/>
      <c r="F463" s="62"/>
      <c r="G463" s="62"/>
      <c r="H463" s="62"/>
      <c r="I463" s="62"/>
      <c r="J463" s="62"/>
      <c r="K463" s="62"/>
      <c r="L463" s="62"/>
      <c r="M463" s="62"/>
      <c r="N463" s="62"/>
      <c r="O463" s="62"/>
      <c r="P463" s="62"/>
      <c r="Q463" s="62"/>
      <c r="R463" s="62"/>
      <c r="S463" s="258"/>
      <c r="T463" s="248" t="str">
        <f t="shared" si="67"/>
        <v/>
      </c>
      <c r="U463" s="249" t="str">
        <f t="shared" si="68"/>
        <v/>
      </c>
      <c r="V463" s="294" t="str">
        <f t="shared" si="64"/>
        <v/>
      </c>
      <c r="W463" s="294" t="str">
        <f>IF(((E463="")+(F463="")),"",IF(VLOOKUP(F463,Mannschaften!$A$1:$B$54,2,FALSE)&lt;&gt;E463,"Reiter Mannschaften füllen",""))</f>
        <v/>
      </c>
      <c r="X463" s="248" t="str">
        <f>IF(ISBLANK(C463),"",IF((U463&gt;(LOOKUP(E463,WKNrListe,Übersicht!$O$7:$O$46)))+(U463&lt;(LOOKUP(E463,WKNrListe,Übersicht!$P$7:$P$46))),"JG falsch",""))</f>
        <v/>
      </c>
      <c r="Y463" s="255" t="str">
        <f>IF((A463="")*(B463=""),"",IF(ISERROR(MATCH(E463,WKNrListe,0)),"WK falsch",LOOKUP(E463,WKNrListe,Übersicht!$B$7:$B$46)))</f>
        <v/>
      </c>
      <c r="Z463" s="269" t="str">
        <f>IF(((AJ463=0)*(AH463&lt;&gt;"")*(AK463="-"))+((AJ463&lt;&gt;0)*(AH463&lt;&gt;"")*(AK463="-")),IF(AG463="X",Übersicht!$C$70,Übersicht!$C$69),"-")</f>
        <v>-</v>
      </c>
      <c r="AA463" s="252" t="str">
        <f>IF((($A463="")*($B463=""))+((MID($Y463,1,4)&lt;&gt;"Wahl")*(Deckblatt!$C$14='WK-Vorlagen'!$C$82))+(Deckblatt!$C$14&lt;&gt;'WK-Vorlagen'!$C$82),"",IF(ISERROR(MATCH(VALUE(MID(G463,1,2)),Schwierigkeitsstufen!$G$7:$G$19,0)),"Gerät falsch",LOOKUP(VALUE(MID(G463,1,2)),Schwierigkeitsstufen!$G$7:$G$19,Schwierigkeitsstufen!$H$7:$H$19)))</f>
        <v/>
      </c>
      <c r="AB463" s="250" t="str">
        <f>IF((($A463="")*($B463=""))+((MID($Y463,1,4)&lt;&gt;"Wahl")*(Deckblatt!$C$14='WK-Vorlagen'!$C$82))+(Deckblatt!$C$14&lt;&gt;'WK-Vorlagen'!$C$82),"",IF(ISERROR(MATCH(VALUE(MID(H463,1,2)),Schwierigkeitsstufen!$G$7:$G$19,0)),"Gerät falsch",LOOKUP(VALUE(MID(H463,1,2)),Schwierigkeitsstufen!$G$7:$G$19,Schwierigkeitsstufen!$H$7:$H$19)))</f>
        <v/>
      </c>
      <c r="AC463" s="250" t="str">
        <f>IF((($A463="")*($B463=""))+((MID($Y463,1,4)&lt;&gt;"Wahl")*(Deckblatt!$C$14='WK-Vorlagen'!$C$82))+(Deckblatt!$C$14&lt;&gt;'WK-Vorlagen'!$C$82),"",IF(ISERROR(MATCH(VALUE(MID(I463,1,2)),Schwierigkeitsstufen!$G$7:$G$19,0)),"Gerät falsch",LOOKUP(VALUE(MID(I463,1,2)),Schwierigkeitsstufen!$G$7:$G$19,Schwierigkeitsstufen!$H$7:$H$19)))</f>
        <v/>
      </c>
      <c r="AD463" s="251" t="str">
        <f>IF((($A463="")*($B463=""))+((MID($Y463,1,4)&lt;&gt;"Wahl")*(Deckblatt!$C$14='WK-Vorlagen'!$C$82))+(Deckblatt!$C$14&lt;&gt;'WK-Vorlagen'!$C$82),"",IF(ISERROR(MATCH(VALUE(MID(J463,1,2)),Schwierigkeitsstufen!$G$7:$G$19,0)),"Gerät falsch",LOOKUP(VALUE(MID(J463,1,2)),Schwierigkeitsstufen!$G$7:$G$19,Schwierigkeitsstufen!$H$7:$H$19)))</f>
        <v/>
      </c>
      <c r="AE463" s="211"/>
      <c r="AG463" s="221" t="str">
        <f t="shared" si="63"/>
        <v/>
      </c>
      <c r="AH463" s="222" t="str">
        <f t="shared" si="65"/>
        <v/>
      </c>
      <c r="AI463" s="220">
        <f t="shared" si="70"/>
        <v>4</v>
      </c>
      <c r="AJ463" s="222">
        <f t="shared" si="66"/>
        <v>0</v>
      </c>
      <c r="AK463" s="299" t="str">
        <f>IF(ISERROR(LOOKUP(E463,WKNrListe,Übersicht!$R$7:$R$46)),"-",LOOKUP(E463,WKNrListe,Übersicht!$R$7:$R$46))</f>
        <v>-</v>
      </c>
      <c r="AL463" s="299" t="str">
        <f t="shared" si="69"/>
        <v>-</v>
      </c>
      <c r="AM463" s="303"/>
      <c r="AN463" s="174" t="str">
        <f t="shared" si="62"/>
        <v>Leer</v>
      </c>
    </row>
    <row r="464" spans="1:40" s="174" customFormat="1" ht="15" customHeight="1">
      <c r="A464" s="63"/>
      <c r="B464" s="63"/>
      <c r="C464" s="84"/>
      <c r="D464" s="85"/>
      <c r="E464" s="62"/>
      <c r="F464" s="62"/>
      <c r="G464" s="62"/>
      <c r="H464" s="62"/>
      <c r="I464" s="62"/>
      <c r="J464" s="62"/>
      <c r="K464" s="62"/>
      <c r="L464" s="62"/>
      <c r="M464" s="62"/>
      <c r="N464" s="62"/>
      <c r="O464" s="62"/>
      <c r="P464" s="62"/>
      <c r="Q464" s="62"/>
      <c r="R464" s="62"/>
      <c r="S464" s="258"/>
      <c r="T464" s="248" t="str">
        <f t="shared" si="67"/>
        <v/>
      </c>
      <c r="U464" s="249" t="str">
        <f t="shared" si="68"/>
        <v/>
      </c>
      <c r="V464" s="294" t="str">
        <f t="shared" si="64"/>
        <v/>
      </c>
      <c r="W464" s="294" t="str">
        <f>IF(((E464="")+(F464="")),"",IF(VLOOKUP(F464,Mannschaften!$A$1:$B$54,2,FALSE)&lt;&gt;E464,"Reiter Mannschaften füllen",""))</f>
        <v/>
      </c>
      <c r="X464" s="248" t="str">
        <f>IF(ISBLANK(C464),"",IF((U464&gt;(LOOKUP(E464,WKNrListe,Übersicht!$O$7:$O$46)))+(U464&lt;(LOOKUP(E464,WKNrListe,Übersicht!$P$7:$P$46))),"JG falsch",""))</f>
        <v/>
      </c>
      <c r="Y464" s="255" t="str">
        <f>IF((A464="")*(B464=""),"",IF(ISERROR(MATCH(E464,WKNrListe,0)),"WK falsch",LOOKUP(E464,WKNrListe,Übersicht!$B$7:$B$46)))</f>
        <v/>
      </c>
      <c r="Z464" s="269" t="str">
        <f>IF(((AJ464=0)*(AH464&lt;&gt;"")*(AK464="-"))+((AJ464&lt;&gt;0)*(AH464&lt;&gt;"")*(AK464="-")),IF(AG464="X",Übersicht!$C$70,Übersicht!$C$69),"-")</f>
        <v>-</v>
      </c>
      <c r="AA464" s="252" t="str">
        <f>IF((($A464="")*($B464=""))+((MID($Y464,1,4)&lt;&gt;"Wahl")*(Deckblatt!$C$14='WK-Vorlagen'!$C$82))+(Deckblatt!$C$14&lt;&gt;'WK-Vorlagen'!$C$82),"",IF(ISERROR(MATCH(VALUE(MID(G464,1,2)),Schwierigkeitsstufen!$G$7:$G$19,0)),"Gerät falsch",LOOKUP(VALUE(MID(G464,1,2)),Schwierigkeitsstufen!$G$7:$G$19,Schwierigkeitsstufen!$H$7:$H$19)))</f>
        <v/>
      </c>
      <c r="AB464" s="250" t="str">
        <f>IF((($A464="")*($B464=""))+((MID($Y464,1,4)&lt;&gt;"Wahl")*(Deckblatt!$C$14='WK-Vorlagen'!$C$82))+(Deckblatt!$C$14&lt;&gt;'WK-Vorlagen'!$C$82),"",IF(ISERROR(MATCH(VALUE(MID(H464,1,2)),Schwierigkeitsstufen!$G$7:$G$19,0)),"Gerät falsch",LOOKUP(VALUE(MID(H464,1,2)),Schwierigkeitsstufen!$G$7:$G$19,Schwierigkeitsstufen!$H$7:$H$19)))</f>
        <v/>
      </c>
      <c r="AC464" s="250" t="str">
        <f>IF((($A464="")*($B464=""))+((MID($Y464,1,4)&lt;&gt;"Wahl")*(Deckblatt!$C$14='WK-Vorlagen'!$C$82))+(Deckblatt!$C$14&lt;&gt;'WK-Vorlagen'!$C$82),"",IF(ISERROR(MATCH(VALUE(MID(I464,1,2)),Schwierigkeitsstufen!$G$7:$G$19,0)),"Gerät falsch",LOOKUP(VALUE(MID(I464,1,2)),Schwierigkeitsstufen!$G$7:$G$19,Schwierigkeitsstufen!$H$7:$H$19)))</f>
        <v/>
      </c>
      <c r="AD464" s="251" t="str">
        <f>IF((($A464="")*($B464=""))+((MID($Y464,1,4)&lt;&gt;"Wahl")*(Deckblatt!$C$14='WK-Vorlagen'!$C$82))+(Deckblatt!$C$14&lt;&gt;'WK-Vorlagen'!$C$82),"",IF(ISERROR(MATCH(VALUE(MID(J464,1,2)),Schwierigkeitsstufen!$G$7:$G$19,0)),"Gerät falsch",LOOKUP(VALUE(MID(J464,1,2)),Schwierigkeitsstufen!$G$7:$G$19,Schwierigkeitsstufen!$H$7:$H$19)))</f>
        <v/>
      </c>
      <c r="AE464" s="211"/>
      <c r="AG464" s="221" t="str">
        <f t="shared" si="63"/>
        <v/>
      </c>
      <c r="AH464" s="222" t="str">
        <f t="shared" si="65"/>
        <v/>
      </c>
      <c r="AI464" s="220">
        <f t="shared" si="70"/>
        <v>4</v>
      </c>
      <c r="AJ464" s="222">
        <f t="shared" si="66"/>
        <v>0</v>
      </c>
      <c r="AK464" s="299" t="str">
        <f>IF(ISERROR(LOOKUP(E464,WKNrListe,Übersicht!$R$7:$R$46)),"-",LOOKUP(E464,WKNrListe,Übersicht!$R$7:$R$46))</f>
        <v>-</v>
      </c>
      <c r="AL464" s="299" t="str">
        <f t="shared" si="69"/>
        <v>-</v>
      </c>
      <c r="AM464" s="303"/>
      <c r="AN464" s="174" t="str">
        <f t="shared" si="62"/>
        <v>Leer</v>
      </c>
    </row>
    <row r="465" spans="1:40" s="174" customFormat="1" ht="15" customHeight="1">
      <c r="A465" s="63"/>
      <c r="B465" s="63"/>
      <c r="C465" s="84"/>
      <c r="D465" s="85"/>
      <c r="E465" s="62"/>
      <c r="F465" s="62"/>
      <c r="G465" s="62"/>
      <c r="H465" s="62"/>
      <c r="I465" s="62"/>
      <c r="J465" s="62"/>
      <c r="K465" s="62"/>
      <c r="L465" s="62"/>
      <c r="M465" s="62"/>
      <c r="N465" s="62"/>
      <c r="O465" s="62"/>
      <c r="P465" s="62"/>
      <c r="Q465" s="62"/>
      <c r="R465" s="62"/>
      <c r="S465" s="258"/>
      <c r="T465" s="248" t="str">
        <f t="shared" si="67"/>
        <v/>
      </c>
      <c r="U465" s="249" t="str">
        <f t="shared" si="68"/>
        <v/>
      </c>
      <c r="V465" s="294" t="str">
        <f t="shared" si="64"/>
        <v/>
      </c>
      <c r="W465" s="294" t="str">
        <f>IF(((E465="")+(F465="")),"",IF(VLOOKUP(F465,Mannschaften!$A$1:$B$54,2,FALSE)&lt;&gt;E465,"Reiter Mannschaften füllen",""))</f>
        <v/>
      </c>
      <c r="X465" s="248" t="str">
        <f>IF(ISBLANK(C465),"",IF((U465&gt;(LOOKUP(E465,WKNrListe,Übersicht!$O$7:$O$46)))+(U465&lt;(LOOKUP(E465,WKNrListe,Übersicht!$P$7:$P$46))),"JG falsch",""))</f>
        <v/>
      </c>
      <c r="Y465" s="255" t="str">
        <f>IF((A465="")*(B465=""),"",IF(ISERROR(MATCH(E465,WKNrListe,0)),"WK falsch",LOOKUP(E465,WKNrListe,Übersicht!$B$7:$B$46)))</f>
        <v/>
      </c>
      <c r="Z465" s="269" t="str">
        <f>IF(((AJ465=0)*(AH465&lt;&gt;"")*(AK465="-"))+((AJ465&lt;&gt;0)*(AH465&lt;&gt;"")*(AK465="-")),IF(AG465="X",Übersicht!$C$70,Übersicht!$C$69),"-")</f>
        <v>-</v>
      </c>
      <c r="AA465" s="252" t="str">
        <f>IF((($A465="")*($B465=""))+((MID($Y465,1,4)&lt;&gt;"Wahl")*(Deckblatt!$C$14='WK-Vorlagen'!$C$82))+(Deckblatt!$C$14&lt;&gt;'WK-Vorlagen'!$C$82),"",IF(ISERROR(MATCH(VALUE(MID(G465,1,2)),Schwierigkeitsstufen!$G$7:$G$19,0)),"Gerät falsch",LOOKUP(VALUE(MID(G465,1,2)),Schwierigkeitsstufen!$G$7:$G$19,Schwierigkeitsstufen!$H$7:$H$19)))</f>
        <v/>
      </c>
      <c r="AB465" s="250" t="str">
        <f>IF((($A465="")*($B465=""))+((MID($Y465,1,4)&lt;&gt;"Wahl")*(Deckblatt!$C$14='WK-Vorlagen'!$C$82))+(Deckblatt!$C$14&lt;&gt;'WK-Vorlagen'!$C$82),"",IF(ISERROR(MATCH(VALUE(MID(H465,1,2)),Schwierigkeitsstufen!$G$7:$G$19,0)),"Gerät falsch",LOOKUP(VALUE(MID(H465,1,2)),Schwierigkeitsstufen!$G$7:$G$19,Schwierigkeitsstufen!$H$7:$H$19)))</f>
        <v/>
      </c>
      <c r="AC465" s="250" t="str">
        <f>IF((($A465="")*($B465=""))+((MID($Y465,1,4)&lt;&gt;"Wahl")*(Deckblatt!$C$14='WK-Vorlagen'!$C$82))+(Deckblatt!$C$14&lt;&gt;'WK-Vorlagen'!$C$82),"",IF(ISERROR(MATCH(VALUE(MID(I465,1,2)),Schwierigkeitsstufen!$G$7:$G$19,0)),"Gerät falsch",LOOKUP(VALUE(MID(I465,1,2)),Schwierigkeitsstufen!$G$7:$G$19,Schwierigkeitsstufen!$H$7:$H$19)))</f>
        <v/>
      </c>
      <c r="AD465" s="251" t="str">
        <f>IF((($A465="")*($B465=""))+((MID($Y465,1,4)&lt;&gt;"Wahl")*(Deckblatt!$C$14='WK-Vorlagen'!$C$82))+(Deckblatt!$C$14&lt;&gt;'WK-Vorlagen'!$C$82),"",IF(ISERROR(MATCH(VALUE(MID(J465,1,2)),Schwierigkeitsstufen!$G$7:$G$19,0)),"Gerät falsch",LOOKUP(VALUE(MID(J465,1,2)),Schwierigkeitsstufen!$G$7:$G$19,Schwierigkeitsstufen!$H$7:$H$19)))</f>
        <v/>
      </c>
      <c r="AE465" s="211"/>
      <c r="AG465" s="221" t="str">
        <f t="shared" si="63"/>
        <v/>
      </c>
      <c r="AH465" s="222" t="str">
        <f t="shared" si="65"/>
        <v/>
      </c>
      <c r="AI465" s="220">
        <f t="shared" si="70"/>
        <v>4</v>
      </c>
      <c r="AJ465" s="222">
        <f t="shared" si="66"/>
        <v>0</v>
      </c>
      <c r="AK465" s="299" t="str">
        <f>IF(ISERROR(LOOKUP(E465,WKNrListe,Übersicht!$R$7:$R$46)),"-",LOOKUP(E465,WKNrListe,Übersicht!$R$7:$R$46))</f>
        <v>-</v>
      </c>
      <c r="AL465" s="299" t="str">
        <f t="shared" si="69"/>
        <v>-</v>
      </c>
      <c r="AM465" s="303"/>
      <c r="AN465" s="174" t="str">
        <f t="shared" si="62"/>
        <v>Leer</v>
      </c>
    </row>
    <row r="466" spans="1:40" s="174" customFormat="1" ht="15" customHeight="1">
      <c r="A466" s="63"/>
      <c r="B466" s="63"/>
      <c r="C466" s="84"/>
      <c r="D466" s="85"/>
      <c r="E466" s="62"/>
      <c r="F466" s="62"/>
      <c r="G466" s="62"/>
      <c r="H466" s="62"/>
      <c r="I466" s="62"/>
      <c r="J466" s="62"/>
      <c r="K466" s="62"/>
      <c r="L466" s="62"/>
      <c r="M466" s="62"/>
      <c r="N466" s="62"/>
      <c r="O466" s="62"/>
      <c r="P466" s="62"/>
      <c r="Q466" s="62"/>
      <c r="R466" s="62"/>
      <c r="S466" s="258"/>
      <c r="T466" s="248" t="str">
        <f t="shared" si="67"/>
        <v/>
      </c>
      <c r="U466" s="249" t="str">
        <f t="shared" si="68"/>
        <v/>
      </c>
      <c r="V466" s="294" t="str">
        <f t="shared" si="64"/>
        <v/>
      </c>
      <c r="W466" s="294" t="str">
        <f>IF(((E466="")+(F466="")),"",IF(VLOOKUP(F466,Mannschaften!$A$1:$B$54,2,FALSE)&lt;&gt;E466,"Reiter Mannschaften füllen",""))</f>
        <v/>
      </c>
      <c r="X466" s="248" t="str">
        <f>IF(ISBLANK(C466),"",IF((U466&gt;(LOOKUP(E466,WKNrListe,Übersicht!$O$7:$O$46)))+(U466&lt;(LOOKUP(E466,WKNrListe,Übersicht!$P$7:$P$46))),"JG falsch",""))</f>
        <v/>
      </c>
      <c r="Y466" s="255" t="str">
        <f>IF((A466="")*(B466=""),"",IF(ISERROR(MATCH(E466,WKNrListe,0)),"WK falsch",LOOKUP(E466,WKNrListe,Übersicht!$B$7:$B$46)))</f>
        <v/>
      </c>
      <c r="Z466" s="269" t="str">
        <f>IF(((AJ466=0)*(AH466&lt;&gt;"")*(AK466="-"))+((AJ466&lt;&gt;0)*(AH466&lt;&gt;"")*(AK466="-")),IF(AG466="X",Übersicht!$C$70,Übersicht!$C$69),"-")</f>
        <v>-</v>
      </c>
      <c r="AA466" s="252" t="str">
        <f>IF((($A466="")*($B466=""))+((MID($Y466,1,4)&lt;&gt;"Wahl")*(Deckblatt!$C$14='WK-Vorlagen'!$C$82))+(Deckblatt!$C$14&lt;&gt;'WK-Vorlagen'!$C$82),"",IF(ISERROR(MATCH(VALUE(MID(G466,1,2)),Schwierigkeitsstufen!$G$7:$G$19,0)),"Gerät falsch",LOOKUP(VALUE(MID(G466,1,2)),Schwierigkeitsstufen!$G$7:$G$19,Schwierigkeitsstufen!$H$7:$H$19)))</f>
        <v/>
      </c>
      <c r="AB466" s="250" t="str">
        <f>IF((($A466="")*($B466=""))+((MID($Y466,1,4)&lt;&gt;"Wahl")*(Deckblatt!$C$14='WK-Vorlagen'!$C$82))+(Deckblatt!$C$14&lt;&gt;'WK-Vorlagen'!$C$82),"",IF(ISERROR(MATCH(VALUE(MID(H466,1,2)),Schwierigkeitsstufen!$G$7:$G$19,0)),"Gerät falsch",LOOKUP(VALUE(MID(H466,1,2)),Schwierigkeitsstufen!$G$7:$G$19,Schwierigkeitsstufen!$H$7:$H$19)))</f>
        <v/>
      </c>
      <c r="AC466" s="250" t="str">
        <f>IF((($A466="")*($B466=""))+((MID($Y466,1,4)&lt;&gt;"Wahl")*(Deckblatt!$C$14='WK-Vorlagen'!$C$82))+(Deckblatt!$C$14&lt;&gt;'WK-Vorlagen'!$C$82),"",IF(ISERROR(MATCH(VALUE(MID(I466,1,2)),Schwierigkeitsstufen!$G$7:$G$19,0)),"Gerät falsch",LOOKUP(VALUE(MID(I466,1,2)),Schwierigkeitsstufen!$G$7:$G$19,Schwierigkeitsstufen!$H$7:$H$19)))</f>
        <v/>
      </c>
      <c r="AD466" s="251" t="str">
        <f>IF((($A466="")*($B466=""))+((MID($Y466,1,4)&lt;&gt;"Wahl")*(Deckblatt!$C$14='WK-Vorlagen'!$C$82))+(Deckblatt!$C$14&lt;&gt;'WK-Vorlagen'!$C$82),"",IF(ISERROR(MATCH(VALUE(MID(J466,1,2)),Schwierigkeitsstufen!$G$7:$G$19,0)),"Gerät falsch",LOOKUP(VALUE(MID(J466,1,2)),Schwierigkeitsstufen!$G$7:$G$19,Schwierigkeitsstufen!$H$7:$H$19)))</f>
        <v/>
      </c>
      <c r="AE466" s="211"/>
      <c r="AG466" s="221" t="str">
        <f t="shared" si="63"/>
        <v/>
      </c>
      <c r="AH466" s="222" t="str">
        <f t="shared" si="65"/>
        <v/>
      </c>
      <c r="AI466" s="220">
        <f t="shared" si="70"/>
        <v>4</v>
      </c>
      <c r="AJ466" s="222">
        <f t="shared" si="66"/>
        <v>0</v>
      </c>
      <c r="AK466" s="299" t="str">
        <f>IF(ISERROR(LOOKUP(E466,WKNrListe,Übersicht!$R$7:$R$46)),"-",LOOKUP(E466,WKNrListe,Übersicht!$R$7:$R$46))</f>
        <v>-</v>
      </c>
      <c r="AL466" s="299" t="str">
        <f t="shared" si="69"/>
        <v>-</v>
      </c>
      <c r="AM466" s="303"/>
      <c r="AN466" s="174" t="str">
        <f t="shared" si="62"/>
        <v>Leer</v>
      </c>
    </row>
    <row r="467" spans="1:40" s="174" customFormat="1" ht="15" customHeight="1">
      <c r="A467" s="63"/>
      <c r="B467" s="63"/>
      <c r="C467" s="84"/>
      <c r="D467" s="85"/>
      <c r="E467" s="62"/>
      <c r="F467" s="62"/>
      <c r="G467" s="62"/>
      <c r="H467" s="62"/>
      <c r="I467" s="62"/>
      <c r="J467" s="62"/>
      <c r="K467" s="62"/>
      <c r="L467" s="62"/>
      <c r="M467" s="62"/>
      <c r="N467" s="62"/>
      <c r="O467" s="62"/>
      <c r="P467" s="62"/>
      <c r="Q467" s="62"/>
      <c r="R467" s="62"/>
      <c r="S467" s="258"/>
      <c r="T467" s="248" t="str">
        <f t="shared" si="67"/>
        <v/>
      </c>
      <c r="U467" s="249" t="str">
        <f t="shared" si="68"/>
        <v/>
      </c>
      <c r="V467" s="294" t="str">
        <f t="shared" si="64"/>
        <v/>
      </c>
      <c r="W467" s="294" t="str">
        <f>IF(((E467="")+(F467="")),"",IF(VLOOKUP(F467,Mannschaften!$A$1:$B$54,2,FALSE)&lt;&gt;E467,"Reiter Mannschaften füllen",""))</f>
        <v/>
      </c>
      <c r="X467" s="248" t="str">
        <f>IF(ISBLANK(C467),"",IF((U467&gt;(LOOKUP(E467,WKNrListe,Übersicht!$O$7:$O$46)))+(U467&lt;(LOOKUP(E467,WKNrListe,Übersicht!$P$7:$P$46))),"JG falsch",""))</f>
        <v/>
      </c>
      <c r="Y467" s="255" t="str">
        <f>IF((A467="")*(B467=""),"",IF(ISERROR(MATCH(E467,WKNrListe,0)),"WK falsch",LOOKUP(E467,WKNrListe,Übersicht!$B$7:$B$46)))</f>
        <v/>
      </c>
      <c r="Z467" s="269" t="str">
        <f>IF(((AJ467=0)*(AH467&lt;&gt;"")*(AK467="-"))+((AJ467&lt;&gt;0)*(AH467&lt;&gt;"")*(AK467="-")),IF(AG467="X",Übersicht!$C$70,Übersicht!$C$69),"-")</f>
        <v>-</v>
      </c>
      <c r="AA467" s="252" t="str">
        <f>IF((($A467="")*($B467=""))+((MID($Y467,1,4)&lt;&gt;"Wahl")*(Deckblatt!$C$14='WK-Vorlagen'!$C$82))+(Deckblatt!$C$14&lt;&gt;'WK-Vorlagen'!$C$82),"",IF(ISERROR(MATCH(VALUE(MID(G467,1,2)),Schwierigkeitsstufen!$G$7:$G$19,0)),"Gerät falsch",LOOKUP(VALUE(MID(G467,1,2)),Schwierigkeitsstufen!$G$7:$G$19,Schwierigkeitsstufen!$H$7:$H$19)))</f>
        <v/>
      </c>
      <c r="AB467" s="250" t="str">
        <f>IF((($A467="")*($B467=""))+((MID($Y467,1,4)&lt;&gt;"Wahl")*(Deckblatt!$C$14='WK-Vorlagen'!$C$82))+(Deckblatt!$C$14&lt;&gt;'WK-Vorlagen'!$C$82),"",IF(ISERROR(MATCH(VALUE(MID(H467,1,2)),Schwierigkeitsstufen!$G$7:$G$19,0)),"Gerät falsch",LOOKUP(VALUE(MID(H467,1,2)),Schwierigkeitsstufen!$G$7:$G$19,Schwierigkeitsstufen!$H$7:$H$19)))</f>
        <v/>
      </c>
      <c r="AC467" s="250" t="str">
        <f>IF((($A467="")*($B467=""))+((MID($Y467,1,4)&lt;&gt;"Wahl")*(Deckblatt!$C$14='WK-Vorlagen'!$C$82))+(Deckblatt!$C$14&lt;&gt;'WK-Vorlagen'!$C$82),"",IF(ISERROR(MATCH(VALUE(MID(I467,1,2)),Schwierigkeitsstufen!$G$7:$G$19,0)),"Gerät falsch",LOOKUP(VALUE(MID(I467,1,2)),Schwierigkeitsstufen!$G$7:$G$19,Schwierigkeitsstufen!$H$7:$H$19)))</f>
        <v/>
      </c>
      <c r="AD467" s="251" t="str">
        <f>IF((($A467="")*($B467=""))+((MID($Y467,1,4)&lt;&gt;"Wahl")*(Deckblatt!$C$14='WK-Vorlagen'!$C$82))+(Deckblatt!$C$14&lt;&gt;'WK-Vorlagen'!$C$82),"",IF(ISERROR(MATCH(VALUE(MID(J467,1,2)),Schwierigkeitsstufen!$G$7:$G$19,0)),"Gerät falsch",LOOKUP(VALUE(MID(J467,1,2)),Schwierigkeitsstufen!$G$7:$G$19,Schwierigkeitsstufen!$H$7:$H$19)))</f>
        <v/>
      </c>
      <c r="AE467" s="211"/>
      <c r="AG467" s="221" t="str">
        <f t="shared" si="63"/>
        <v/>
      </c>
      <c r="AH467" s="222" t="str">
        <f t="shared" si="65"/>
        <v/>
      </c>
      <c r="AI467" s="220">
        <f t="shared" si="70"/>
        <v>4</v>
      </c>
      <c r="AJ467" s="222">
        <f t="shared" si="66"/>
        <v>0</v>
      </c>
      <c r="AK467" s="299" t="str">
        <f>IF(ISERROR(LOOKUP(E467,WKNrListe,Übersicht!$R$7:$R$46)),"-",LOOKUP(E467,WKNrListe,Übersicht!$R$7:$R$46))</f>
        <v>-</v>
      </c>
      <c r="AL467" s="299" t="str">
        <f t="shared" si="69"/>
        <v>-</v>
      </c>
      <c r="AM467" s="303"/>
      <c r="AN467" s="174" t="str">
        <f t="shared" si="62"/>
        <v>Leer</v>
      </c>
    </row>
    <row r="468" spans="1:40" s="174" customFormat="1" ht="15" customHeight="1">
      <c r="A468" s="63"/>
      <c r="B468" s="63"/>
      <c r="C468" s="84"/>
      <c r="D468" s="85"/>
      <c r="E468" s="62"/>
      <c r="F468" s="62"/>
      <c r="G468" s="62"/>
      <c r="H468" s="62"/>
      <c r="I468" s="62"/>
      <c r="J468" s="62"/>
      <c r="K468" s="62"/>
      <c r="L468" s="62"/>
      <c r="M468" s="62"/>
      <c r="N468" s="62"/>
      <c r="O468" s="62"/>
      <c r="P468" s="62"/>
      <c r="Q468" s="62"/>
      <c r="R468" s="62"/>
      <c r="S468" s="258"/>
      <c r="T468" s="248" t="str">
        <f t="shared" si="67"/>
        <v/>
      </c>
      <c r="U468" s="249" t="str">
        <f t="shared" si="68"/>
        <v/>
      </c>
      <c r="V468" s="294" t="str">
        <f t="shared" si="64"/>
        <v/>
      </c>
      <c r="W468" s="294" t="str">
        <f>IF(((E468="")+(F468="")),"",IF(VLOOKUP(F468,Mannschaften!$A$1:$B$54,2,FALSE)&lt;&gt;E468,"Reiter Mannschaften füllen",""))</f>
        <v/>
      </c>
      <c r="X468" s="248" t="str">
        <f>IF(ISBLANK(C468),"",IF((U468&gt;(LOOKUP(E468,WKNrListe,Übersicht!$O$7:$O$46)))+(U468&lt;(LOOKUP(E468,WKNrListe,Übersicht!$P$7:$P$46))),"JG falsch",""))</f>
        <v/>
      </c>
      <c r="Y468" s="255" t="str">
        <f>IF((A468="")*(B468=""),"",IF(ISERROR(MATCH(E468,WKNrListe,0)),"WK falsch",LOOKUP(E468,WKNrListe,Übersicht!$B$7:$B$46)))</f>
        <v/>
      </c>
      <c r="Z468" s="269" t="str">
        <f>IF(((AJ468=0)*(AH468&lt;&gt;"")*(AK468="-"))+((AJ468&lt;&gt;0)*(AH468&lt;&gt;"")*(AK468="-")),IF(AG468="X",Übersicht!$C$70,Übersicht!$C$69),"-")</f>
        <v>-</v>
      </c>
      <c r="AA468" s="252" t="str">
        <f>IF((($A468="")*($B468=""))+((MID($Y468,1,4)&lt;&gt;"Wahl")*(Deckblatt!$C$14='WK-Vorlagen'!$C$82))+(Deckblatt!$C$14&lt;&gt;'WK-Vorlagen'!$C$82),"",IF(ISERROR(MATCH(VALUE(MID(G468,1,2)),Schwierigkeitsstufen!$G$7:$G$19,0)),"Gerät falsch",LOOKUP(VALUE(MID(G468,1,2)),Schwierigkeitsstufen!$G$7:$G$19,Schwierigkeitsstufen!$H$7:$H$19)))</f>
        <v/>
      </c>
      <c r="AB468" s="250" t="str">
        <f>IF((($A468="")*($B468=""))+((MID($Y468,1,4)&lt;&gt;"Wahl")*(Deckblatt!$C$14='WK-Vorlagen'!$C$82))+(Deckblatt!$C$14&lt;&gt;'WK-Vorlagen'!$C$82),"",IF(ISERROR(MATCH(VALUE(MID(H468,1,2)),Schwierigkeitsstufen!$G$7:$G$19,0)),"Gerät falsch",LOOKUP(VALUE(MID(H468,1,2)),Schwierigkeitsstufen!$G$7:$G$19,Schwierigkeitsstufen!$H$7:$H$19)))</f>
        <v/>
      </c>
      <c r="AC468" s="250" t="str">
        <f>IF((($A468="")*($B468=""))+((MID($Y468,1,4)&lt;&gt;"Wahl")*(Deckblatt!$C$14='WK-Vorlagen'!$C$82))+(Deckblatt!$C$14&lt;&gt;'WK-Vorlagen'!$C$82),"",IF(ISERROR(MATCH(VALUE(MID(I468,1,2)),Schwierigkeitsstufen!$G$7:$G$19,0)),"Gerät falsch",LOOKUP(VALUE(MID(I468,1,2)),Schwierigkeitsstufen!$G$7:$G$19,Schwierigkeitsstufen!$H$7:$H$19)))</f>
        <v/>
      </c>
      <c r="AD468" s="251" t="str">
        <f>IF((($A468="")*($B468=""))+((MID($Y468,1,4)&lt;&gt;"Wahl")*(Deckblatt!$C$14='WK-Vorlagen'!$C$82))+(Deckblatt!$C$14&lt;&gt;'WK-Vorlagen'!$C$82),"",IF(ISERROR(MATCH(VALUE(MID(J468,1,2)),Schwierigkeitsstufen!$G$7:$G$19,0)),"Gerät falsch",LOOKUP(VALUE(MID(J468,1,2)),Schwierigkeitsstufen!$G$7:$G$19,Schwierigkeitsstufen!$H$7:$H$19)))</f>
        <v/>
      </c>
      <c r="AE468" s="211"/>
      <c r="AG468" s="221" t="str">
        <f t="shared" si="63"/>
        <v/>
      </c>
      <c r="AH468" s="222" t="str">
        <f t="shared" si="65"/>
        <v/>
      </c>
      <c r="AI468" s="220">
        <f t="shared" si="70"/>
        <v>4</v>
      </c>
      <c r="AJ468" s="222">
        <f t="shared" si="66"/>
        <v>0</v>
      </c>
      <c r="AK468" s="299" t="str">
        <f>IF(ISERROR(LOOKUP(E468,WKNrListe,Übersicht!$R$7:$R$46)),"-",LOOKUP(E468,WKNrListe,Übersicht!$R$7:$R$46))</f>
        <v>-</v>
      </c>
      <c r="AL468" s="299" t="str">
        <f t="shared" si="69"/>
        <v>-</v>
      </c>
      <c r="AM468" s="303"/>
      <c r="AN468" s="174" t="str">
        <f t="shared" si="62"/>
        <v>Leer</v>
      </c>
    </row>
    <row r="469" spans="1:40" s="174" customFormat="1" ht="15" customHeight="1">
      <c r="A469" s="63"/>
      <c r="B469" s="63"/>
      <c r="C469" s="84"/>
      <c r="D469" s="85"/>
      <c r="E469" s="62"/>
      <c r="F469" s="62"/>
      <c r="G469" s="62"/>
      <c r="H469" s="62"/>
      <c r="I469" s="62"/>
      <c r="J469" s="62"/>
      <c r="K469" s="62"/>
      <c r="L469" s="62"/>
      <c r="M469" s="62"/>
      <c r="N469" s="62"/>
      <c r="O469" s="62"/>
      <c r="P469" s="62"/>
      <c r="Q469" s="62"/>
      <c r="R469" s="62"/>
      <c r="S469" s="258"/>
      <c r="T469" s="248" t="str">
        <f t="shared" si="67"/>
        <v/>
      </c>
      <c r="U469" s="249" t="str">
        <f t="shared" si="68"/>
        <v/>
      </c>
      <c r="V469" s="294" t="str">
        <f t="shared" si="64"/>
        <v/>
      </c>
      <c r="W469" s="294" t="str">
        <f>IF(((E469="")+(F469="")),"",IF(VLOOKUP(F469,Mannschaften!$A$1:$B$54,2,FALSE)&lt;&gt;E469,"Reiter Mannschaften füllen",""))</f>
        <v/>
      </c>
      <c r="X469" s="248" t="str">
        <f>IF(ISBLANK(C469),"",IF((U469&gt;(LOOKUP(E469,WKNrListe,Übersicht!$O$7:$O$46)))+(U469&lt;(LOOKUP(E469,WKNrListe,Übersicht!$P$7:$P$46))),"JG falsch",""))</f>
        <v/>
      </c>
      <c r="Y469" s="255" t="str">
        <f>IF((A469="")*(B469=""),"",IF(ISERROR(MATCH(E469,WKNrListe,0)),"WK falsch",LOOKUP(E469,WKNrListe,Übersicht!$B$7:$B$46)))</f>
        <v/>
      </c>
      <c r="Z469" s="269" t="str">
        <f>IF(((AJ469=0)*(AH469&lt;&gt;"")*(AK469="-"))+((AJ469&lt;&gt;0)*(AH469&lt;&gt;"")*(AK469="-")),IF(AG469="X",Übersicht!$C$70,Übersicht!$C$69),"-")</f>
        <v>-</v>
      </c>
      <c r="AA469" s="252" t="str">
        <f>IF((($A469="")*($B469=""))+((MID($Y469,1,4)&lt;&gt;"Wahl")*(Deckblatt!$C$14='WK-Vorlagen'!$C$82))+(Deckblatt!$C$14&lt;&gt;'WK-Vorlagen'!$C$82),"",IF(ISERROR(MATCH(VALUE(MID(G469,1,2)),Schwierigkeitsstufen!$G$7:$G$19,0)),"Gerät falsch",LOOKUP(VALUE(MID(G469,1,2)),Schwierigkeitsstufen!$G$7:$G$19,Schwierigkeitsstufen!$H$7:$H$19)))</f>
        <v/>
      </c>
      <c r="AB469" s="250" t="str">
        <f>IF((($A469="")*($B469=""))+((MID($Y469,1,4)&lt;&gt;"Wahl")*(Deckblatt!$C$14='WK-Vorlagen'!$C$82))+(Deckblatt!$C$14&lt;&gt;'WK-Vorlagen'!$C$82),"",IF(ISERROR(MATCH(VALUE(MID(H469,1,2)),Schwierigkeitsstufen!$G$7:$G$19,0)),"Gerät falsch",LOOKUP(VALUE(MID(H469,1,2)),Schwierigkeitsstufen!$G$7:$G$19,Schwierigkeitsstufen!$H$7:$H$19)))</f>
        <v/>
      </c>
      <c r="AC469" s="250" t="str">
        <f>IF((($A469="")*($B469=""))+((MID($Y469,1,4)&lt;&gt;"Wahl")*(Deckblatt!$C$14='WK-Vorlagen'!$C$82))+(Deckblatt!$C$14&lt;&gt;'WK-Vorlagen'!$C$82),"",IF(ISERROR(MATCH(VALUE(MID(I469,1,2)),Schwierigkeitsstufen!$G$7:$G$19,0)),"Gerät falsch",LOOKUP(VALUE(MID(I469,1,2)),Schwierigkeitsstufen!$G$7:$G$19,Schwierigkeitsstufen!$H$7:$H$19)))</f>
        <v/>
      </c>
      <c r="AD469" s="251" t="str">
        <f>IF((($A469="")*($B469=""))+((MID($Y469,1,4)&lt;&gt;"Wahl")*(Deckblatt!$C$14='WK-Vorlagen'!$C$82))+(Deckblatt!$C$14&lt;&gt;'WK-Vorlagen'!$C$82),"",IF(ISERROR(MATCH(VALUE(MID(J469,1,2)),Schwierigkeitsstufen!$G$7:$G$19,0)),"Gerät falsch",LOOKUP(VALUE(MID(J469,1,2)),Schwierigkeitsstufen!$G$7:$G$19,Schwierigkeitsstufen!$H$7:$H$19)))</f>
        <v/>
      </c>
      <c r="AE469" s="211"/>
      <c r="AG469" s="221" t="str">
        <f t="shared" si="63"/>
        <v/>
      </c>
      <c r="AH469" s="222" t="str">
        <f t="shared" si="65"/>
        <v/>
      </c>
      <c r="AI469" s="220">
        <f t="shared" si="70"/>
        <v>4</v>
      </c>
      <c r="AJ469" s="222">
        <f t="shared" si="66"/>
        <v>0</v>
      </c>
      <c r="AK469" s="299" t="str">
        <f>IF(ISERROR(LOOKUP(E469,WKNrListe,Übersicht!$R$7:$R$46)),"-",LOOKUP(E469,WKNrListe,Übersicht!$R$7:$R$46))</f>
        <v>-</v>
      </c>
      <c r="AL469" s="299" t="str">
        <f t="shared" si="69"/>
        <v>-</v>
      </c>
      <c r="AM469" s="303"/>
      <c r="AN469" s="174" t="str">
        <f t="shared" si="62"/>
        <v>Leer</v>
      </c>
    </row>
    <row r="470" spans="1:40" s="174" customFormat="1" ht="15" customHeight="1">
      <c r="A470" s="63"/>
      <c r="B470" s="63"/>
      <c r="C470" s="84"/>
      <c r="D470" s="85"/>
      <c r="E470" s="62"/>
      <c r="F470" s="62"/>
      <c r="G470" s="62"/>
      <c r="H470" s="62"/>
      <c r="I470" s="62"/>
      <c r="J470" s="62"/>
      <c r="K470" s="62"/>
      <c r="L470" s="62"/>
      <c r="M470" s="62"/>
      <c r="N470" s="62"/>
      <c r="O470" s="62"/>
      <c r="P470" s="62"/>
      <c r="Q470" s="62"/>
      <c r="R470" s="62"/>
      <c r="S470" s="258"/>
      <c r="T470" s="248" t="str">
        <f t="shared" si="67"/>
        <v/>
      </c>
      <c r="U470" s="249" t="str">
        <f t="shared" si="68"/>
        <v/>
      </c>
      <c r="V470" s="294" t="str">
        <f t="shared" si="64"/>
        <v/>
      </c>
      <c r="W470" s="294" t="str">
        <f>IF(((E470="")+(F470="")),"",IF(VLOOKUP(F470,Mannschaften!$A$1:$B$54,2,FALSE)&lt;&gt;E470,"Reiter Mannschaften füllen",""))</f>
        <v/>
      </c>
      <c r="X470" s="248" t="str">
        <f>IF(ISBLANK(C470),"",IF((U470&gt;(LOOKUP(E470,WKNrListe,Übersicht!$O$7:$O$46)))+(U470&lt;(LOOKUP(E470,WKNrListe,Übersicht!$P$7:$P$46))),"JG falsch",""))</f>
        <v/>
      </c>
      <c r="Y470" s="255" t="str">
        <f>IF((A470="")*(B470=""),"",IF(ISERROR(MATCH(E470,WKNrListe,0)),"WK falsch",LOOKUP(E470,WKNrListe,Übersicht!$B$7:$B$46)))</f>
        <v/>
      </c>
      <c r="Z470" s="269" t="str">
        <f>IF(((AJ470=0)*(AH470&lt;&gt;"")*(AK470="-"))+((AJ470&lt;&gt;0)*(AH470&lt;&gt;"")*(AK470="-")),IF(AG470="X",Übersicht!$C$70,Übersicht!$C$69),"-")</f>
        <v>-</v>
      </c>
      <c r="AA470" s="252" t="str">
        <f>IF((($A470="")*($B470=""))+((MID($Y470,1,4)&lt;&gt;"Wahl")*(Deckblatt!$C$14='WK-Vorlagen'!$C$82))+(Deckblatt!$C$14&lt;&gt;'WK-Vorlagen'!$C$82),"",IF(ISERROR(MATCH(VALUE(MID(G470,1,2)),Schwierigkeitsstufen!$G$7:$G$19,0)),"Gerät falsch",LOOKUP(VALUE(MID(G470,1,2)),Schwierigkeitsstufen!$G$7:$G$19,Schwierigkeitsstufen!$H$7:$H$19)))</f>
        <v/>
      </c>
      <c r="AB470" s="250" t="str">
        <f>IF((($A470="")*($B470=""))+((MID($Y470,1,4)&lt;&gt;"Wahl")*(Deckblatt!$C$14='WK-Vorlagen'!$C$82))+(Deckblatt!$C$14&lt;&gt;'WK-Vorlagen'!$C$82),"",IF(ISERROR(MATCH(VALUE(MID(H470,1,2)),Schwierigkeitsstufen!$G$7:$G$19,0)),"Gerät falsch",LOOKUP(VALUE(MID(H470,1,2)),Schwierigkeitsstufen!$G$7:$G$19,Schwierigkeitsstufen!$H$7:$H$19)))</f>
        <v/>
      </c>
      <c r="AC470" s="250" t="str">
        <f>IF((($A470="")*($B470=""))+((MID($Y470,1,4)&lt;&gt;"Wahl")*(Deckblatt!$C$14='WK-Vorlagen'!$C$82))+(Deckblatt!$C$14&lt;&gt;'WK-Vorlagen'!$C$82),"",IF(ISERROR(MATCH(VALUE(MID(I470,1,2)),Schwierigkeitsstufen!$G$7:$G$19,0)),"Gerät falsch",LOOKUP(VALUE(MID(I470,1,2)),Schwierigkeitsstufen!$G$7:$G$19,Schwierigkeitsstufen!$H$7:$H$19)))</f>
        <v/>
      </c>
      <c r="AD470" s="251" t="str">
        <f>IF((($A470="")*($B470=""))+((MID($Y470,1,4)&lt;&gt;"Wahl")*(Deckblatt!$C$14='WK-Vorlagen'!$C$82))+(Deckblatt!$C$14&lt;&gt;'WK-Vorlagen'!$C$82),"",IF(ISERROR(MATCH(VALUE(MID(J470,1,2)),Schwierigkeitsstufen!$G$7:$G$19,0)),"Gerät falsch",LOOKUP(VALUE(MID(J470,1,2)),Schwierigkeitsstufen!$G$7:$G$19,Schwierigkeitsstufen!$H$7:$H$19)))</f>
        <v/>
      </c>
      <c r="AE470" s="211"/>
      <c r="AG470" s="221" t="str">
        <f t="shared" si="63"/>
        <v/>
      </c>
      <c r="AH470" s="222" t="str">
        <f t="shared" si="65"/>
        <v/>
      </c>
      <c r="AI470" s="220">
        <f t="shared" si="70"/>
        <v>4</v>
      </c>
      <c r="AJ470" s="222">
        <f t="shared" si="66"/>
        <v>0</v>
      </c>
      <c r="AK470" s="299" t="str">
        <f>IF(ISERROR(LOOKUP(E470,WKNrListe,Übersicht!$R$7:$R$46)),"-",LOOKUP(E470,WKNrListe,Übersicht!$R$7:$R$46))</f>
        <v>-</v>
      </c>
      <c r="AL470" s="299" t="str">
        <f t="shared" si="69"/>
        <v>-</v>
      </c>
      <c r="AM470" s="303"/>
      <c r="AN470" s="174" t="str">
        <f t="shared" si="62"/>
        <v>Leer</v>
      </c>
    </row>
    <row r="471" spans="1:40" s="174" customFormat="1" ht="15" customHeight="1">
      <c r="A471" s="63"/>
      <c r="B471" s="63"/>
      <c r="C471" s="84"/>
      <c r="D471" s="85"/>
      <c r="E471" s="62"/>
      <c r="F471" s="62"/>
      <c r="G471" s="62"/>
      <c r="H471" s="62"/>
      <c r="I471" s="62"/>
      <c r="J471" s="62"/>
      <c r="K471" s="62"/>
      <c r="L471" s="62"/>
      <c r="M471" s="62"/>
      <c r="N471" s="62"/>
      <c r="O471" s="62"/>
      <c r="P471" s="62"/>
      <c r="Q471" s="62"/>
      <c r="R471" s="62"/>
      <c r="S471" s="258"/>
      <c r="T471" s="248" t="str">
        <f t="shared" si="67"/>
        <v/>
      </c>
      <c r="U471" s="249" t="str">
        <f t="shared" si="68"/>
        <v/>
      </c>
      <c r="V471" s="294" t="str">
        <f t="shared" si="64"/>
        <v/>
      </c>
      <c r="W471" s="294" t="str">
        <f>IF(((E471="")+(F471="")),"",IF(VLOOKUP(F471,Mannschaften!$A$1:$B$54,2,FALSE)&lt;&gt;E471,"Reiter Mannschaften füllen",""))</f>
        <v/>
      </c>
      <c r="X471" s="248" t="str">
        <f>IF(ISBLANK(C471),"",IF((U471&gt;(LOOKUP(E471,WKNrListe,Übersicht!$O$7:$O$46)))+(U471&lt;(LOOKUP(E471,WKNrListe,Übersicht!$P$7:$P$46))),"JG falsch",""))</f>
        <v/>
      </c>
      <c r="Y471" s="255" t="str">
        <f>IF((A471="")*(B471=""),"",IF(ISERROR(MATCH(E471,WKNrListe,0)),"WK falsch",LOOKUP(E471,WKNrListe,Übersicht!$B$7:$B$46)))</f>
        <v/>
      </c>
      <c r="Z471" s="269" t="str">
        <f>IF(((AJ471=0)*(AH471&lt;&gt;"")*(AK471="-"))+((AJ471&lt;&gt;0)*(AH471&lt;&gt;"")*(AK471="-")),IF(AG471="X",Übersicht!$C$70,Übersicht!$C$69),"-")</f>
        <v>-</v>
      </c>
      <c r="AA471" s="252" t="str">
        <f>IF((($A471="")*($B471=""))+((MID($Y471,1,4)&lt;&gt;"Wahl")*(Deckblatt!$C$14='WK-Vorlagen'!$C$82))+(Deckblatt!$C$14&lt;&gt;'WK-Vorlagen'!$C$82),"",IF(ISERROR(MATCH(VALUE(MID(G471,1,2)),Schwierigkeitsstufen!$G$7:$G$19,0)),"Gerät falsch",LOOKUP(VALUE(MID(G471,1,2)),Schwierigkeitsstufen!$G$7:$G$19,Schwierigkeitsstufen!$H$7:$H$19)))</f>
        <v/>
      </c>
      <c r="AB471" s="250" t="str">
        <f>IF((($A471="")*($B471=""))+((MID($Y471,1,4)&lt;&gt;"Wahl")*(Deckblatt!$C$14='WK-Vorlagen'!$C$82))+(Deckblatt!$C$14&lt;&gt;'WK-Vorlagen'!$C$82),"",IF(ISERROR(MATCH(VALUE(MID(H471,1,2)),Schwierigkeitsstufen!$G$7:$G$19,0)),"Gerät falsch",LOOKUP(VALUE(MID(H471,1,2)),Schwierigkeitsstufen!$G$7:$G$19,Schwierigkeitsstufen!$H$7:$H$19)))</f>
        <v/>
      </c>
      <c r="AC471" s="250" t="str">
        <f>IF((($A471="")*($B471=""))+((MID($Y471,1,4)&lt;&gt;"Wahl")*(Deckblatt!$C$14='WK-Vorlagen'!$C$82))+(Deckblatt!$C$14&lt;&gt;'WK-Vorlagen'!$C$82),"",IF(ISERROR(MATCH(VALUE(MID(I471,1,2)),Schwierigkeitsstufen!$G$7:$G$19,0)),"Gerät falsch",LOOKUP(VALUE(MID(I471,1,2)),Schwierigkeitsstufen!$G$7:$G$19,Schwierigkeitsstufen!$H$7:$H$19)))</f>
        <v/>
      </c>
      <c r="AD471" s="251" t="str">
        <f>IF((($A471="")*($B471=""))+((MID($Y471,1,4)&lt;&gt;"Wahl")*(Deckblatt!$C$14='WK-Vorlagen'!$C$82))+(Deckblatt!$C$14&lt;&gt;'WK-Vorlagen'!$C$82),"",IF(ISERROR(MATCH(VALUE(MID(J471,1,2)),Schwierigkeitsstufen!$G$7:$G$19,0)),"Gerät falsch",LOOKUP(VALUE(MID(J471,1,2)),Schwierigkeitsstufen!$G$7:$G$19,Schwierigkeitsstufen!$H$7:$H$19)))</f>
        <v/>
      </c>
      <c r="AE471" s="211"/>
      <c r="AG471" s="221" t="str">
        <f t="shared" si="63"/>
        <v/>
      </c>
      <c r="AH471" s="222" t="str">
        <f t="shared" si="65"/>
        <v/>
      </c>
      <c r="AI471" s="220">
        <f t="shared" si="70"/>
        <v>4</v>
      </c>
      <c r="AJ471" s="222">
        <f t="shared" si="66"/>
        <v>0</v>
      </c>
      <c r="AK471" s="299" t="str">
        <f>IF(ISERROR(LOOKUP(E471,WKNrListe,Übersicht!$R$7:$R$46)),"-",LOOKUP(E471,WKNrListe,Übersicht!$R$7:$R$46))</f>
        <v>-</v>
      </c>
      <c r="AL471" s="299" t="str">
        <f t="shared" si="69"/>
        <v>-</v>
      </c>
      <c r="AM471" s="303"/>
      <c r="AN471" s="174" t="str">
        <f t="shared" si="62"/>
        <v>Leer</v>
      </c>
    </row>
    <row r="472" spans="1:40" s="174" customFormat="1" ht="15" customHeight="1">
      <c r="A472" s="63"/>
      <c r="B472" s="63"/>
      <c r="C472" s="84"/>
      <c r="D472" s="85"/>
      <c r="E472" s="62"/>
      <c r="F472" s="62"/>
      <c r="G472" s="62"/>
      <c r="H472" s="62"/>
      <c r="I472" s="62"/>
      <c r="J472" s="62"/>
      <c r="K472" s="62"/>
      <c r="L472" s="62"/>
      <c r="M472" s="62"/>
      <c r="N472" s="62"/>
      <c r="O472" s="62"/>
      <c r="P472" s="62"/>
      <c r="Q472" s="62"/>
      <c r="R472" s="62"/>
      <c r="S472" s="258"/>
      <c r="T472" s="248" t="str">
        <f t="shared" si="67"/>
        <v/>
      </c>
      <c r="U472" s="249" t="str">
        <f t="shared" si="68"/>
        <v/>
      </c>
      <c r="V472" s="294" t="str">
        <f t="shared" si="64"/>
        <v/>
      </c>
      <c r="W472" s="294" t="str">
        <f>IF(((E472="")+(F472="")),"",IF(VLOOKUP(F472,Mannschaften!$A$1:$B$54,2,FALSE)&lt;&gt;E472,"Reiter Mannschaften füllen",""))</f>
        <v/>
      </c>
      <c r="X472" s="248" t="str">
        <f>IF(ISBLANK(C472),"",IF((U472&gt;(LOOKUP(E472,WKNrListe,Übersicht!$O$7:$O$46)))+(U472&lt;(LOOKUP(E472,WKNrListe,Übersicht!$P$7:$P$46))),"JG falsch",""))</f>
        <v/>
      </c>
      <c r="Y472" s="255" t="str">
        <f>IF((A472="")*(B472=""),"",IF(ISERROR(MATCH(E472,WKNrListe,0)),"WK falsch",LOOKUP(E472,WKNrListe,Übersicht!$B$7:$B$46)))</f>
        <v/>
      </c>
      <c r="Z472" s="269" t="str">
        <f>IF(((AJ472=0)*(AH472&lt;&gt;"")*(AK472="-"))+((AJ472&lt;&gt;0)*(AH472&lt;&gt;"")*(AK472="-")),IF(AG472="X",Übersicht!$C$70,Übersicht!$C$69),"-")</f>
        <v>-</v>
      </c>
      <c r="AA472" s="252" t="str">
        <f>IF((($A472="")*($B472=""))+((MID($Y472,1,4)&lt;&gt;"Wahl")*(Deckblatt!$C$14='WK-Vorlagen'!$C$82))+(Deckblatt!$C$14&lt;&gt;'WK-Vorlagen'!$C$82),"",IF(ISERROR(MATCH(VALUE(MID(G472,1,2)),Schwierigkeitsstufen!$G$7:$G$19,0)),"Gerät falsch",LOOKUP(VALUE(MID(G472,1,2)),Schwierigkeitsstufen!$G$7:$G$19,Schwierigkeitsstufen!$H$7:$H$19)))</f>
        <v/>
      </c>
      <c r="AB472" s="250" t="str">
        <f>IF((($A472="")*($B472=""))+((MID($Y472,1,4)&lt;&gt;"Wahl")*(Deckblatt!$C$14='WK-Vorlagen'!$C$82))+(Deckblatt!$C$14&lt;&gt;'WK-Vorlagen'!$C$82),"",IF(ISERROR(MATCH(VALUE(MID(H472,1,2)),Schwierigkeitsstufen!$G$7:$G$19,0)),"Gerät falsch",LOOKUP(VALUE(MID(H472,1,2)),Schwierigkeitsstufen!$G$7:$G$19,Schwierigkeitsstufen!$H$7:$H$19)))</f>
        <v/>
      </c>
      <c r="AC472" s="250" t="str">
        <f>IF((($A472="")*($B472=""))+((MID($Y472,1,4)&lt;&gt;"Wahl")*(Deckblatt!$C$14='WK-Vorlagen'!$C$82))+(Deckblatt!$C$14&lt;&gt;'WK-Vorlagen'!$C$82),"",IF(ISERROR(MATCH(VALUE(MID(I472,1,2)),Schwierigkeitsstufen!$G$7:$G$19,0)),"Gerät falsch",LOOKUP(VALUE(MID(I472,1,2)),Schwierigkeitsstufen!$G$7:$G$19,Schwierigkeitsstufen!$H$7:$H$19)))</f>
        <v/>
      </c>
      <c r="AD472" s="251" t="str">
        <f>IF((($A472="")*($B472=""))+((MID($Y472,1,4)&lt;&gt;"Wahl")*(Deckblatt!$C$14='WK-Vorlagen'!$C$82))+(Deckblatt!$C$14&lt;&gt;'WK-Vorlagen'!$C$82),"",IF(ISERROR(MATCH(VALUE(MID(J472,1,2)),Schwierigkeitsstufen!$G$7:$G$19,0)),"Gerät falsch",LOOKUP(VALUE(MID(J472,1,2)),Schwierigkeitsstufen!$G$7:$G$19,Schwierigkeitsstufen!$H$7:$H$19)))</f>
        <v/>
      </c>
      <c r="AE472" s="211"/>
      <c r="AG472" s="221" t="str">
        <f t="shared" si="63"/>
        <v/>
      </c>
      <c r="AH472" s="222" t="str">
        <f t="shared" si="65"/>
        <v/>
      </c>
      <c r="AI472" s="220">
        <f t="shared" si="70"/>
        <v>4</v>
      </c>
      <c r="AJ472" s="222">
        <f t="shared" si="66"/>
        <v>0</v>
      </c>
      <c r="AK472" s="299" t="str">
        <f>IF(ISERROR(LOOKUP(E472,WKNrListe,Übersicht!$R$7:$R$46)),"-",LOOKUP(E472,WKNrListe,Übersicht!$R$7:$R$46))</f>
        <v>-</v>
      </c>
      <c r="AL472" s="299" t="str">
        <f t="shared" si="69"/>
        <v>-</v>
      </c>
      <c r="AM472" s="303"/>
      <c r="AN472" s="174" t="str">
        <f t="shared" si="62"/>
        <v>Leer</v>
      </c>
    </row>
    <row r="473" spans="1:40" s="174" customFormat="1" ht="15" customHeight="1">
      <c r="A473" s="63"/>
      <c r="B473" s="63"/>
      <c r="C473" s="84"/>
      <c r="D473" s="85"/>
      <c r="E473" s="62"/>
      <c r="F473" s="62"/>
      <c r="G473" s="62"/>
      <c r="H473" s="62"/>
      <c r="I473" s="62"/>
      <c r="J473" s="62"/>
      <c r="K473" s="62"/>
      <c r="L473" s="62"/>
      <c r="M473" s="62"/>
      <c r="N473" s="62"/>
      <c r="O473" s="62"/>
      <c r="P473" s="62"/>
      <c r="Q473" s="62"/>
      <c r="R473" s="62"/>
      <c r="S473" s="258"/>
      <c r="T473" s="248" t="str">
        <f t="shared" si="67"/>
        <v/>
      </c>
      <c r="U473" s="249" t="str">
        <f t="shared" si="68"/>
        <v/>
      </c>
      <c r="V473" s="294" t="str">
        <f t="shared" si="64"/>
        <v/>
      </c>
      <c r="W473" s="294" t="str">
        <f>IF(((E473="")+(F473="")),"",IF(VLOOKUP(F473,Mannschaften!$A$1:$B$54,2,FALSE)&lt;&gt;E473,"Reiter Mannschaften füllen",""))</f>
        <v/>
      </c>
      <c r="X473" s="248" t="str">
        <f>IF(ISBLANK(C473),"",IF((U473&gt;(LOOKUP(E473,WKNrListe,Übersicht!$O$7:$O$46)))+(U473&lt;(LOOKUP(E473,WKNrListe,Übersicht!$P$7:$P$46))),"JG falsch",""))</f>
        <v/>
      </c>
      <c r="Y473" s="255" t="str">
        <f>IF((A473="")*(B473=""),"",IF(ISERROR(MATCH(E473,WKNrListe,0)),"WK falsch",LOOKUP(E473,WKNrListe,Übersicht!$B$7:$B$46)))</f>
        <v/>
      </c>
      <c r="Z473" s="269" t="str">
        <f>IF(((AJ473=0)*(AH473&lt;&gt;"")*(AK473="-"))+((AJ473&lt;&gt;0)*(AH473&lt;&gt;"")*(AK473="-")),IF(AG473="X",Übersicht!$C$70,Übersicht!$C$69),"-")</f>
        <v>-</v>
      </c>
      <c r="AA473" s="252" t="str">
        <f>IF((($A473="")*($B473=""))+((MID($Y473,1,4)&lt;&gt;"Wahl")*(Deckblatt!$C$14='WK-Vorlagen'!$C$82))+(Deckblatt!$C$14&lt;&gt;'WK-Vorlagen'!$C$82),"",IF(ISERROR(MATCH(VALUE(MID(G473,1,2)),Schwierigkeitsstufen!$G$7:$G$19,0)),"Gerät falsch",LOOKUP(VALUE(MID(G473,1,2)),Schwierigkeitsstufen!$G$7:$G$19,Schwierigkeitsstufen!$H$7:$H$19)))</f>
        <v/>
      </c>
      <c r="AB473" s="250" t="str">
        <f>IF((($A473="")*($B473=""))+((MID($Y473,1,4)&lt;&gt;"Wahl")*(Deckblatt!$C$14='WK-Vorlagen'!$C$82))+(Deckblatt!$C$14&lt;&gt;'WK-Vorlagen'!$C$82),"",IF(ISERROR(MATCH(VALUE(MID(H473,1,2)),Schwierigkeitsstufen!$G$7:$G$19,0)),"Gerät falsch",LOOKUP(VALUE(MID(H473,1,2)),Schwierigkeitsstufen!$G$7:$G$19,Schwierigkeitsstufen!$H$7:$H$19)))</f>
        <v/>
      </c>
      <c r="AC473" s="250" t="str">
        <f>IF((($A473="")*($B473=""))+((MID($Y473,1,4)&lt;&gt;"Wahl")*(Deckblatt!$C$14='WK-Vorlagen'!$C$82))+(Deckblatt!$C$14&lt;&gt;'WK-Vorlagen'!$C$82),"",IF(ISERROR(MATCH(VALUE(MID(I473,1,2)),Schwierigkeitsstufen!$G$7:$G$19,0)),"Gerät falsch",LOOKUP(VALUE(MID(I473,1,2)),Schwierigkeitsstufen!$G$7:$G$19,Schwierigkeitsstufen!$H$7:$H$19)))</f>
        <v/>
      </c>
      <c r="AD473" s="251" t="str">
        <f>IF((($A473="")*($B473=""))+((MID($Y473,1,4)&lt;&gt;"Wahl")*(Deckblatt!$C$14='WK-Vorlagen'!$C$82))+(Deckblatt!$C$14&lt;&gt;'WK-Vorlagen'!$C$82),"",IF(ISERROR(MATCH(VALUE(MID(J473,1,2)),Schwierigkeitsstufen!$G$7:$G$19,0)),"Gerät falsch",LOOKUP(VALUE(MID(J473,1,2)),Schwierigkeitsstufen!$G$7:$G$19,Schwierigkeitsstufen!$H$7:$H$19)))</f>
        <v/>
      </c>
      <c r="AE473" s="211"/>
      <c r="AG473" s="221" t="str">
        <f t="shared" si="63"/>
        <v/>
      </c>
      <c r="AH473" s="222" t="str">
        <f t="shared" si="65"/>
        <v/>
      </c>
      <c r="AI473" s="220">
        <f t="shared" si="70"/>
        <v>4</v>
      </c>
      <c r="AJ473" s="222">
        <f t="shared" si="66"/>
        <v>0</v>
      </c>
      <c r="AK473" s="299" t="str">
        <f>IF(ISERROR(LOOKUP(E473,WKNrListe,Übersicht!$R$7:$R$46)),"-",LOOKUP(E473,WKNrListe,Übersicht!$R$7:$R$46))</f>
        <v>-</v>
      </c>
      <c r="AL473" s="299" t="str">
        <f t="shared" si="69"/>
        <v>-</v>
      </c>
      <c r="AM473" s="303"/>
      <c r="AN473" s="174" t="str">
        <f t="shared" si="62"/>
        <v>Leer</v>
      </c>
    </row>
    <row r="474" spans="1:40" s="174" customFormat="1" ht="15" customHeight="1">
      <c r="A474" s="63"/>
      <c r="B474" s="63"/>
      <c r="C474" s="84"/>
      <c r="D474" s="85"/>
      <c r="E474" s="62"/>
      <c r="F474" s="62"/>
      <c r="G474" s="62"/>
      <c r="H474" s="62"/>
      <c r="I474" s="62"/>
      <c r="J474" s="62"/>
      <c r="K474" s="62"/>
      <c r="L474" s="62"/>
      <c r="M474" s="62"/>
      <c r="N474" s="62"/>
      <c r="O474" s="62"/>
      <c r="P474" s="62"/>
      <c r="Q474" s="62"/>
      <c r="R474" s="62"/>
      <c r="S474" s="258"/>
      <c r="T474" s="248" t="str">
        <f t="shared" si="67"/>
        <v/>
      </c>
      <c r="U474" s="249" t="str">
        <f t="shared" si="68"/>
        <v/>
      </c>
      <c r="V474" s="294" t="str">
        <f t="shared" si="64"/>
        <v/>
      </c>
      <c r="W474" s="294" t="str">
        <f>IF(((E474="")+(F474="")),"",IF(VLOOKUP(F474,Mannschaften!$A$1:$B$54,2,FALSE)&lt;&gt;E474,"Reiter Mannschaften füllen",""))</f>
        <v/>
      </c>
      <c r="X474" s="248" t="str">
        <f>IF(ISBLANK(C474),"",IF((U474&gt;(LOOKUP(E474,WKNrListe,Übersicht!$O$7:$O$46)))+(U474&lt;(LOOKUP(E474,WKNrListe,Übersicht!$P$7:$P$46))),"JG falsch",""))</f>
        <v/>
      </c>
      <c r="Y474" s="255" t="str">
        <f>IF((A474="")*(B474=""),"",IF(ISERROR(MATCH(E474,WKNrListe,0)),"WK falsch",LOOKUP(E474,WKNrListe,Übersicht!$B$7:$B$46)))</f>
        <v/>
      </c>
      <c r="Z474" s="269" t="str">
        <f>IF(((AJ474=0)*(AH474&lt;&gt;"")*(AK474="-"))+((AJ474&lt;&gt;0)*(AH474&lt;&gt;"")*(AK474="-")),IF(AG474="X",Übersicht!$C$70,Übersicht!$C$69),"-")</f>
        <v>-</v>
      </c>
      <c r="AA474" s="252" t="str">
        <f>IF((($A474="")*($B474=""))+((MID($Y474,1,4)&lt;&gt;"Wahl")*(Deckblatt!$C$14='WK-Vorlagen'!$C$82))+(Deckblatt!$C$14&lt;&gt;'WK-Vorlagen'!$C$82),"",IF(ISERROR(MATCH(VALUE(MID(G474,1,2)),Schwierigkeitsstufen!$G$7:$G$19,0)),"Gerät falsch",LOOKUP(VALUE(MID(G474,1,2)),Schwierigkeitsstufen!$G$7:$G$19,Schwierigkeitsstufen!$H$7:$H$19)))</f>
        <v/>
      </c>
      <c r="AB474" s="250" t="str">
        <f>IF((($A474="")*($B474=""))+((MID($Y474,1,4)&lt;&gt;"Wahl")*(Deckblatt!$C$14='WK-Vorlagen'!$C$82))+(Deckblatt!$C$14&lt;&gt;'WK-Vorlagen'!$C$82),"",IF(ISERROR(MATCH(VALUE(MID(H474,1,2)),Schwierigkeitsstufen!$G$7:$G$19,0)),"Gerät falsch",LOOKUP(VALUE(MID(H474,1,2)),Schwierigkeitsstufen!$G$7:$G$19,Schwierigkeitsstufen!$H$7:$H$19)))</f>
        <v/>
      </c>
      <c r="AC474" s="250" t="str">
        <f>IF((($A474="")*($B474=""))+((MID($Y474,1,4)&lt;&gt;"Wahl")*(Deckblatt!$C$14='WK-Vorlagen'!$C$82))+(Deckblatt!$C$14&lt;&gt;'WK-Vorlagen'!$C$82),"",IF(ISERROR(MATCH(VALUE(MID(I474,1,2)),Schwierigkeitsstufen!$G$7:$G$19,0)),"Gerät falsch",LOOKUP(VALUE(MID(I474,1,2)),Schwierigkeitsstufen!$G$7:$G$19,Schwierigkeitsstufen!$H$7:$H$19)))</f>
        <v/>
      </c>
      <c r="AD474" s="251" t="str">
        <f>IF((($A474="")*($B474=""))+((MID($Y474,1,4)&lt;&gt;"Wahl")*(Deckblatt!$C$14='WK-Vorlagen'!$C$82))+(Deckblatt!$C$14&lt;&gt;'WK-Vorlagen'!$C$82),"",IF(ISERROR(MATCH(VALUE(MID(J474,1,2)),Schwierigkeitsstufen!$G$7:$G$19,0)),"Gerät falsch",LOOKUP(VALUE(MID(J474,1,2)),Schwierigkeitsstufen!$G$7:$G$19,Schwierigkeitsstufen!$H$7:$H$19)))</f>
        <v/>
      </c>
      <c r="AE474" s="211"/>
      <c r="AG474" s="221" t="str">
        <f t="shared" si="63"/>
        <v/>
      </c>
      <c r="AH474" s="222" t="str">
        <f t="shared" si="65"/>
        <v/>
      </c>
      <c r="AI474" s="220">
        <f t="shared" si="70"/>
        <v>4</v>
      </c>
      <c r="AJ474" s="222">
        <f t="shared" si="66"/>
        <v>0</v>
      </c>
      <c r="AK474" s="299" t="str">
        <f>IF(ISERROR(LOOKUP(E474,WKNrListe,Übersicht!$R$7:$R$46)),"-",LOOKUP(E474,WKNrListe,Übersicht!$R$7:$R$46))</f>
        <v>-</v>
      </c>
      <c r="AL474" s="299" t="str">
        <f t="shared" si="69"/>
        <v>-</v>
      </c>
      <c r="AM474" s="303"/>
      <c r="AN474" s="174" t="str">
        <f t="shared" si="62"/>
        <v>Leer</v>
      </c>
    </row>
    <row r="475" spans="1:40" s="174" customFormat="1" ht="15" customHeight="1">
      <c r="A475" s="63"/>
      <c r="B475" s="63"/>
      <c r="C475" s="84"/>
      <c r="D475" s="85"/>
      <c r="E475" s="62"/>
      <c r="F475" s="62"/>
      <c r="G475" s="62"/>
      <c r="H475" s="62"/>
      <c r="I475" s="62"/>
      <c r="J475" s="62"/>
      <c r="K475" s="62"/>
      <c r="L475" s="62"/>
      <c r="M475" s="62"/>
      <c r="N475" s="62"/>
      <c r="O475" s="62"/>
      <c r="P475" s="62"/>
      <c r="Q475" s="62"/>
      <c r="R475" s="62"/>
      <c r="S475" s="258"/>
      <c r="T475" s="248" t="str">
        <f t="shared" si="67"/>
        <v/>
      </c>
      <c r="U475" s="249" t="str">
        <f t="shared" si="68"/>
        <v/>
      </c>
      <c r="V475" s="294" t="str">
        <f t="shared" si="64"/>
        <v/>
      </c>
      <c r="W475" s="294" t="str">
        <f>IF(((E475="")+(F475="")),"",IF(VLOOKUP(F475,Mannschaften!$A$1:$B$54,2,FALSE)&lt;&gt;E475,"Reiter Mannschaften füllen",""))</f>
        <v/>
      </c>
      <c r="X475" s="248" t="str">
        <f>IF(ISBLANK(C475),"",IF((U475&gt;(LOOKUP(E475,WKNrListe,Übersicht!$O$7:$O$46)))+(U475&lt;(LOOKUP(E475,WKNrListe,Übersicht!$P$7:$P$46))),"JG falsch",""))</f>
        <v/>
      </c>
      <c r="Y475" s="255" t="str">
        <f>IF((A475="")*(B475=""),"",IF(ISERROR(MATCH(E475,WKNrListe,0)),"WK falsch",LOOKUP(E475,WKNrListe,Übersicht!$B$7:$B$46)))</f>
        <v/>
      </c>
      <c r="Z475" s="269" t="str">
        <f>IF(((AJ475=0)*(AH475&lt;&gt;"")*(AK475="-"))+((AJ475&lt;&gt;0)*(AH475&lt;&gt;"")*(AK475="-")),IF(AG475="X",Übersicht!$C$70,Übersicht!$C$69),"-")</f>
        <v>-</v>
      </c>
      <c r="AA475" s="252" t="str">
        <f>IF((($A475="")*($B475=""))+((MID($Y475,1,4)&lt;&gt;"Wahl")*(Deckblatt!$C$14='WK-Vorlagen'!$C$82))+(Deckblatt!$C$14&lt;&gt;'WK-Vorlagen'!$C$82),"",IF(ISERROR(MATCH(VALUE(MID(G475,1,2)),Schwierigkeitsstufen!$G$7:$G$19,0)),"Gerät falsch",LOOKUP(VALUE(MID(G475,1,2)),Schwierigkeitsstufen!$G$7:$G$19,Schwierigkeitsstufen!$H$7:$H$19)))</f>
        <v/>
      </c>
      <c r="AB475" s="250" t="str">
        <f>IF((($A475="")*($B475=""))+((MID($Y475,1,4)&lt;&gt;"Wahl")*(Deckblatt!$C$14='WK-Vorlagen'!$C$82))+(Deckblatt!$C$14&lt;&gt;'WK-Vorlagen'!$C$82),"",IF(ISERROR(MATCH(VALUE(MID(H475,1,2)),Schwierigkeitsstufen!$G$7:$G$19,0)),"Gerät falsch",LOOKUP(VALUE(MID(H475,1,2)),Schwierigkeitsstufen!$G$7:$G$19,Schwierigkeitsstufen!$H$7:$H$19)))</f>
        <v/>
      </c>
      <c r="AC475" s="250" t="str">
        <f>IF((($A475="")*($B475=""))+((MID($Y475,1,4)&lt;&gt;"Wahl")*(Deckblatt!$C$14='WK-Vorlagen'!$C$82))+(Deckblatt!$C$14&lt;&gt;'WK-Vorlagen'!$C$82),"",IF(ISERROR(MATCH(VALUE(MID(I475,1,2)),Schwierigkeitsstufen!$G$7:$G$19,0)),"Gerät falsch",LOOKUP(VALUE(MID(I475,1,2)),Schwierigkeitsstufen!$G$7:$G$19,Schwierigkeitsstufen!$H$7:$H$19)))</f>
        <v/>
      </c>
      <c r="AD475" s="251" t="str">
        <f>IF((($A475="")*($B475=""))+((MID($Y475,1,4)&lt;&gt;"Wahl")*(Deckblatt!$C$14='WK-Vorlagen'!$C$82))+(Deckblatt!$C$14&lt;&gt;'WK-Vorlagen'!$C$82),"",IF(ISERROR(MATCH(VALUE(MID(J475,1,2)),Schwierigkeitsstufen!$G$7:$G$19,0)),"Gerät falsch",LOOKUP(VALUE(MID(J475,1,2)),Schwierigkeitsstufen!$G$7:$G$19,Schwierigkeitsstufen!$H$7:$H$19)))</f>
        <v/>
      </c>
      <c r="AE475" s="211"/>
      <c r="AG475" s="221" t="str">
        <f t="shared" si="63"/>
        <v/>
      </c>
      <c r="AH475" s="222" t="str">
        <f t="shared" si="65"/>
        <v/>
      </c>
      <c r="AI475" s="220">
        <f t="shared" si="70"/>
        <v>4</v>
      </c>
      <c r="AJ475" s="222">
        <f t="shared" si="66"/>
        <v>0</v>
      </c>
      <c r="AK475" s="299" t="str">
        <f>IF(ISERROR(LOOKUP(E475,WKNrListe,Übersicht!$R$7:$R$46)),"-",LOOKUP(E475,WKNrListe,Übersicht!$R$7:$R$46))</f>
        <v>-</v>
      </c>
      <c r="AL475" s="299" t="str">
        <f t="shared" si="69"/>
        <v>-</v>
      </c>
      <c r="AM475" s="303"/>
      <c r="AN475" s="174" t="str">
        <f t="shared" si="62"/>
        <v>Leer</v>
      </c>
    </row>
    <row r="476" spans="1:40" s="174" customFormat="1" ht="15" customHeight="1">
      <c r="A476" s="63"/>
      <c r="B476" s="63"/>
      <c r="C476" s="84"/>
      <c r="D476" s="85"/>
      <c r="E476" s="62"/>
      <c r="F476" s="62"/>
      <c r="G476" s="62"/>
      <c r="H476" s="62"/>
      <c r="I476" s="62"/>
      <c r="J476" s="62"/>
      <c r="K476" s="62"/>
      <c r="L476" s="62"/>
      <c r="M476" s="62"/>
      <c r="N476" s="62"/>
      <c r="O476" s="62"/>
      <c r="P476" s="62"/>
      <c r="Q476" s="62"/>
      <c r="R476" s="62"/>
      <c r="S476" s="258"/>
      <c r="T476" s="248" t="str">
        <f t="shared" si="67"/>
        <v/>
      </c>
      <c r="U476" s="249" t="str">
        <f t="shared" si="68"/>
        <v/>
      </c>
      <c r="V476" s="294" t="str">
        <f t="shared" si="64"/>
        <v/>
      </c>
      <c r="W476" s="294" t="str">
        <f>IF(((E476="")+(F476="")),"",IF(VLOOKUP(F476,Mannschaften!$A$1:$B$54,2,FALSE)&lt;&gt;E476,"Reiter Mannschaften füllen",""))</f>
        <v/>
      </c>
      <c r="X476" s="248" t="str">
        <f>IF(ISBLANK(C476),"",IF((U476&gt;(LOOKUP(E476,WKNrListe,Übersicht!$O$7:$O$46)))+(U476&lt;(LOOKUP(E476,WKNrListe,Übersicht!$P$7:$P$46))),"JG falsch",""))</f>
        <v/>
      </c>
      <c r="Y476" s="255" t="str">
        <f>IF((A476="")*(B476=""),"",IF(ISERROR(MATCH(E476,WKNrListe,0)),"WK falsch",LOOKUP(E476,WKNrListe,Übersicht!$B$7:$B$46)))</f>
        <v/>
      </c>
      <c r="Z476" s="269" t="str">
        <f>IF(((AJ476=0)*(AH476&lt;&gt;"")*(AK476="-"))+((AJ476&lt;&gt;0)*(AH476&lt;&gt;"")*(AK476="-")),IF(AG476="X",Übersicht!$C$70,Übersicht!$C$69),"-")</f>
        <v>-</v>
      </c>
      <c r="AA476" s="252" t="str">
        <f>IF((($A476="")*($B476=""))+((MID($Y476,1,4)&lt;&gt;"Wahl")*(Deckblatt!$C$14='WK-Vorlagen'!$C$82))+(Deckblatt!$C$14&lt;&gt;'WK-Vorlagen'!$C$82),"",IF(ISERROR(MATCH(VALUE(MID(G476,1,2)),Schwierigkeitsstufen!$G$7:$G$19,0)),"Gerät falsch",LOOKUP(VALUE(MID(G476,1,2)),Schwierigkeitsstufen!$G$7:$G$19,Schwierigkeitsstufen!$H$7:$H$19)))</f>
        <v/>
      </c>
      <c r="AB476" s="250" t="str">
        <f>IF((($A476="")*($B476=""))+((MID($Y476,1,4)&lt;&gt;"Wahl")*(Deckblatt!$C$14='WK-Vorlagen'!$C$82))+(Deckblatt!$C$14&lt;&gt;'WK-Vorlagen'!$C$82),"",IF(ISERROR(MATCH(VALUE(MID(H476,1,2)),Schwierigkeitsstufen!$G$7:$G$19,0)),"Gerät falsch",LOOKUP(VALUE(MID(H476,1,2)),Schwierigkeitsstufen!$G$7:$G$19,Schwierigkeitsstufen!$H$7:$H$19)))</f>
        <v/>
      </c>
      <c r="AC476" s="250" t="str">
        <f>IF((($A476="")*($B476=""))+((MID($Y476,1,4)&lt;&gt;"Wahl")*(Deckblatt!$C$14='WK-Vorlagen'!$C$82))+(Deckblatt!$C$14&lt;&gt;'WK-Vorlagen'!$C$82),"",IF(ISERROR(MATCH(VALUE(MID(I476,1,2)),Schwierigkeitsstufen!$G$7:$G$19,0)),"Gerät falsch",LOOKUP(VALUE(MID(I476,1,2)),Schwierigkeitsstufen!$G$7:$G$19,Schwierigkeitsstufen!$H$7:$H$19)))</f>
        <v/>
      </c>
      <c r="AD476" s="251" t="str">
        <f>IF((($A476="")*($B476=""))+((MID($Y476,1,4)&lt;&gt;"Wahl")*(Deckblatt!$C$14='WK-Vorlagen'!$C$82))+(Deckblatt!$C$14&lt;&gt;'WK-Vorlagen'!$C$82),"",IF(ISERROR(MATCH(VALUE(MID(J476,1,2)),Schwierigkeitsstufen!$G$7:$G$19,0)),"Gerät falsch",LOOKUP(VALUE(MID(J476,1,2)),Schwierigkeitsstufen!$G$7:$G$19,Schwierigkeitsstufen!$H$7:$H$19)))</f>
        <v/>
      </c>
      <c r="AE476" s="211"/>
      <c r="AG476" s="221" t="str">
        <f t="shared" si="63"/>
        <v/>
      </c>
      <c r="AH476" s="222" t="str">
        <f t="shared" si="65"/>
        <v/>
      </c>
      <c r="AI476" s="220">
        <f t="shared" si="70"/>
        <v>4</v>
      </c>
      <c r="AJ476" s="222">
        <f t="shared" si="66"/>
        <v>0</v>
      </c>
      <c r="AK476" s="299" t="str">
        <f>IF(ISERROR(LOOKUP(E476,WKNrListe,Übersicht!$R$7:$R$46)),"-",LOOKUP(E476,WKNrListe,Übersicht!$R$7:$R$46))</f>
        <v>-</v>
      </c>
      <c r="AL476" s="299" t="str">
        <f t="shared" si="69"/>
        <v>-</v>
      </c>
      <c r="AM476" s="303"/>
      <c r="AN476" s="174" t="str">
        <f t="shared" si="62"/>
        <v>Leer</v>
      </c>
    </row>
    <row r="477" spans="1:40" s="174" customFormat="1" ht="15" customHeight="1">
      <c r="A477" s="63"/>
      <c r="B477" s="63"/>
      <c r="C477" s="84"/>
      <c r="D477" s="85"/>
      <c r="E477" s="62"/>
      <c r="F477" s="62"/>
      <c r="G477" s="62"/>
      <c r="H477" s="62"/>
      <c r="I477" s="62"/>
      <c r="J477" s="62"/>
      <c r="K477" s="62"/>
      <c r="L477" s="62"/>
      <c r="M477" s="62"/>
      <c r="N477" s="62"/>
      <c r="O477" s="62"/>
      <c r="P477" s="62"/>
      <c r="Q477" s="62"/>
      <c r="R477" s="62"/>
      <c r="S477" s="258"/>
      <c r="T477" s="248" t="str">
        <f t="shared" si="67"/>
        <v/>
      </c>
      <c r="U477" s="249" t="str">
        <f t="shared" si="68"/>
        <v/>
      </c>
      <c r="V477" s="294" t="str">
        <f t="shared" si="64"/>
        <v/>
      </c>
      <c r="W477" s="294" t="str">
        <f>IF(((E477="")+(F477="")),"",IF(VLOOKUP(F477,Mannschaften!$A$1:$B$54,2,FALSE)&lt;&gt;E477,"Reiter Mannschaften füllen",""))</f>
        <v/>
      </c>
      <c r="X477" s="248" t="str">
        <f>IF(ISBLANK(C477),"",IF((U477&gt;(LOOKUP(E477,WKNrListe,Übersicht!$O$7:$O$46)))+(U477&lt;(LOOKUP(E477,WKNrListe,Übersicht!$P$7:$P$46))),"JG falsch",""))</f>
        <v/>
      </c>
      <c r="Y477" s="255" t="str">
        <f>IF((A477="")*(B477=""),"",IF(ISERROR(MATCH(E477,WKNrListe,0)),"WK falsch",LOOKUP(E477,WKNrListe,Übersicht!$B$7:$B$46)))</f>
        <v/>
      </c>
      <c r="Z477" s="269" t="str">
        <f>IF(((AJ477=0)*(AH477&lt;&gt;"")*(AK477="-"))+((AJ477&lt;&gt;0)*(AH477&lt;&gt;"")*(AK477="-")),IF(AG477="X",Übersicht!$C$70,Übersicht!$C$69),"-")</f>
        <v>-</v>
      </c>
      <c r="AA477" s="252" t="str">
        <f>IF((($A477="")*($B477=""))+((MID($Y477,1,4)&lt;&gt;"Wahl")*(Deckblatt!$C$14='WK-Vorlagen'!$C$82))+(Deckblatt!$C$14&lt;&gt;'WK-Vorlagen'!$C$82),"",IF(ISERROR(MATCH(VALUE(MID(G477,1,2)),Schwierigkeitsstufen!$G$7:$G$19,0)),"Gerät falsch",LOOKUP(VALUE(MID(G477,1,2)),Schwierigkeitsstufen!$G$7:$G$19,Schwierigkeitsstufen!$H$7:$H$19)))</f>
        <v/>
      </c>
      <c r="AB477" s="250" t="str">
        <f>IF((($A477="")*($B477=""))+((MID($Y477,1,4)&lt;&gt;"Wahl")*(Deckblatt!$C$14='WK-Vorlagen'!$C$82))+(Deckblatt!$C$14&lt;&gt;'WK-Vorlagen'!$C$82),"",IF(ISERROR(MATCH(VALUE(MID(H477,1,2)),Schwierigkeitsstufen!$G$7:$G$19,0)),"Gerät falsch",LOOKUP(VALUE(MID(H477,1,2)),Schwierigkeitsstufen!$G$7:$G$19,Schwierigkeitsstufen!$H$7:$H$19)))</f>
        <v/>
      </c>
      <c r="AC477" s="250" t="str">
        <f>IF((($A477="")*($B477=""))+((MID($Y477,1,4)&lt;&gt;"Wahl")*(Deckblatt!$C$14='WK-Vorlagen'!$C$82))+(Deckblatt!$C$14&lt;&gt;'WK-Vorlagen'!$C$82),"",IF(ISERROR(MATCH(VALUE(MID(I477,1,2)),Schwierigkeitsstufen!$G$7:$G$19,0)),"Gerät falsch",LOOKUP(VALUE(MID(I477,1,2)),Schwierigkeitsstufen!$G$7:$G$19,Schwierigkeitsstufen!$H$7:$H$19)))</f>
        <v/>
      </c>
      <c r="AD477" s="251" t="str">
        <f>IF((($A477="")*($B477=""))+((MID($Y477,1,4)&lt;&gt;"Wahl")*(Deckblatt!$C$14='WK-Vorlagen'!$C$82))+(Deckblatt!$C$14&lt;&gt;'WK-Vorlagen'!$C$82),"",IF(ISERROR(MATCH(VALUE(MID(J477,1,2)),Schwierigkeitsstufen!$G$7:$G$19,0)),"Gerät falsch",LOOKUP(VALUE(MID(J477,1,2)),Schwierigkeitsstufen!$G$7:$G$19,Schwierigkeitsstufen!$H$7:$H$19)))</f>
        <v/>
      </c>
      <c r="AE477" s="211"/>
      <c r="AG477" s="221" t="str">
        <f t="shared" si="63"/>
        <v/>
      </c>
      <c r="AH477" s="222" t="str">
        <f t="shared" si="65"/>
        <v/>
      </c>
      <c r="AI477" s="220">
        <f t="shared" si="70"/>
        <v>4</v>
      </c>
      <c r="AJ477" s="222">
        <f t="shared" si="66"/>
        <v>0</v>
      </c>
      <c r="AK477" s="299" t="str">
        <f>IF(ISERROR(LOOKUP(E477,WKNrListe,Übersicht!$R$7:$R$46)),"-",LOOKUP(E477,WKNrListe,Übersicht!$R$7:$R$46))</f>
        <v>-</v>
      </c>
      <c r="AL477" s="299" t="str">
        <f t="shared" si="69"/>
        <v>-</v>
      </c>
      <c r="AM477" s="303"/>
      <c r="AN477" s="174" t="str">
        <f t="shared" si="62"/>
        <v>Leer</v>
      </c>
    </row>
    <row r="478" spans="1:40" s="174" customFormat="1" ht="15" customHeight="1">
      <c r="A478" s="63"/>
      <c r="B478" s="63"/>
      <c r="C478" s="84"/>
      <c r="D478" s="85"/>
      <c r="E478" s="62"/>
      <c r="F478" s="62"/>
      <c r="G478" s="62"/>
      <c r="H478" s="62"/>
      <c r="I478" s="62"/>
      <c r="J478" s="62"/>
      <c r="K478" s="62"/>
      <c r="L478" s="62"/>
      <c r="M478" s="62"/>
      <c r="N478" s="62"/>
      <c r="O478" s="62"/>
      <c r="P478" s="62"/>
      <c r="Q478" s="62"/>
      <c r="R478" s="62"/>
      <c r="S478" s="258"/>
      <c r="T478" s="248" t="str">
        <f t="shared" si="67"/>
        <v/>
      </c>
      <c r="U478" s="249" t="str">
        <f t="shared" si="68"/>
        <v/>
      </c>
      <c r="V478" s="294" t="str">
        <f t="shared" si="64"/>
        <v/>
      </c>
      <c r="W478" s="294" t="str">
        <f>IF(((E478="")+(F478="")),"",IF(VLOOKUP(F478,Mannschaften!$A$1:$B$54,2,FALSE)&lt;&gt;E478,"Reiter Mannschaften füllen",""))</f>
        <v/>
      </c>
      <c r="X478" s="248" t="str">
        <f>IF(ISBLANK(C478),"",IF((U478&gt;(LOOKUP(E478,WKNrListe,Übersicht!$O$7:$O$46)))+(U478&lt;(LOOKUP(E478,WKNrListe,Übersicht!$P$7:$P$46))),"JG falsch",""))</f>
        <v/>
      </c>
      <c r="Y478" s="255" t="str">
        <f>IF((A478="")*(B478=""),"",IF(ISERROR(MATCH(E478,WKNrListe,0)),"WK falsch",LOOKUP(E478,WKNrListe,Übersicht!$B$7:$B$46)))</f>
        <v/>
      </c>
      <c r="Z478" s="269" t="str">
        <f>IF(((AJ478=0)*(AH478&lt;&gt;"")*(AK478="-"))+((AJ478&lt;&gt;0)*(AH478&lt;&gt;"")*(AK478="-")),IF(AG478="X",Übersicht!$C$70,Übersicht!$C$69),"-")</f>
        <v>-</v>
      </c>
      <c r="AA478" s="252" t="str">
        <f>IF((($A478="")*($B478=""))+((MID($Y478,1,4)&lt;&gt;"Wahl")*(Deckblatt!$C$14='WK-Vorlagen'!$C$82))+(Deckblatt!$C$14&lt;&gt;'WK-Vorlagen'!$C$82),"",IF(ISERROR(MATCH(VALUE(MID(G478,1,2)),Schwierigkeitsstufen!$G$7:$G$19,0)),"Gerät falsch",LOOKUP(VALUE(MID(G478,1,2)),Schwierigkeitsstufen!$G$7:$G$19,Schwierigkeitsstufen!$H$7:$H$19)))</f>
        <v/>
      </c>
      <c r="AB478" s="250" t="str">
        <f>IF((($A478="")*($B478=""))+((MID($Y478,1,4)&lt;&gt;"Wahl")*(Deckblatt!$C$14='WK-Vorlagen'!$C$82))+(Deckblatt!$C$14&lt;&gt;'WK-Vorlagen'!$C$82),"",IF(ISERROR(MATCH(VALUE(MID(H478,1,2)),Schwierigkeitsstufen!$G$7:$G$19,0)),"Gerät falsch",LOOKUP(VALUE(MID(H478,1,2)),Schwierigkeitsstufen!$G$7:$G$19,Schwierigkeitsstufen!$H$7:$H$19)))</f>
        <v/>
      </c>
      <c r="AC478" s="250" t="str">
        <f>IF((($A478="")*($B478=""))+((MID($Y478,1,4)&lt;&gt;"Wahl")*(Deckblatt!$C$14='WK-Vorlagen'!$C$82))+(Deckblatt!$C$14&lt;&gt;'WK-Vorlagen'!$C$82),"",IF(ISERROR(MATCH(VALUE(MID(I478,1,2)),Schwierigkeitsstufen!$G$7:$G$19,0)),"Gerät falsch",LOOKUP(VALUE(MID(I478,1,2)),Schwierigkeitsstufen!$G$7:$G$19,Schwierigkeitsstufen!$H$7:$H$19)))</f>
        <v/>
      </c>
      <c r="AD478" s="251" t="str">
        <f>IF((($A478="")*($B478=""))+((MID($Y478,1,4)&lt;&gt;"Wahl")*(Deckblatt!$C$14='WK-Vorlagen'!$C$82))+(Deckblatt!$C$14&lt;&gt;'WK-Vorlagen'!$C$82),"",IF(ISERROR(MATCH(VALUE(MID(J478,1,2)),Schwierigkeitsstufen!$G$7:$G$19,0)),"Gerät falsch",LOOKUP(VALUE(MID(J478,1,2)),Schwierigkeitsstufen!$G$7:$G$19,Schwierigkeitsstufen!$H$7:$H$19)))</f>
        <v/>
      </c>
      <c r="AE478" s="211"/>
      <c r="AG478" s="221" t="str">
        <f t="shared" si="63"/>
        <v/>
      </c>
      <c r="AH478" s="222" t="str">
        <f t="shared" si="65"/>
        <v/>
      </c>
      <c r="AI478" s="220">
        <f t="shared" si="70"/>
        <v>4</v>
      </c>
      <c r="AJ478" s="222">
        <f t="shared" si="66"/>
        <v>0</v>
      </c>
      <c r="AK478" s="299" t="str">
        <f>IF(ISERROR(LOOKUP(E478,WKNrListe,Übersicht!$R$7:$R$46)),"-",LOOKUP(E478,WKNrListe,Übersicht!$R$7:$R$46))</f>
        <v>-</v>
      </c>
      <c r="AL478" s="299" t="str">
        <f t="shared" si="69"/>
        <v>-</v>
      </c>
      <c r="AM478" s="303"/>
      <c r="AN478" s="174" t="str">
        <f t="shared" si="62"/>
        <v>Leer</v>
      </c>
    </row>
    <row r="479" spans="1:40" s="174" customFormat="1" ht="15" customHeight="1">
      <c r="A479" s="63"/>
      <c r="B479" s="63"/>
      <c r="C479" s="84"/>
      <c r="D479" s="85"/>
      <c r="E479" s="62"/>
      <c r="F479" s="62"/>
      <c r="G479" s="62"/>
      <c r="H479" s="62"/>
      <c r="I479" s="62"/>
      <c r="J479" s="62"/>
      <c r="K479" s="62"/>
      <c r="L479" s="62"/>
      <c r="M479" s="62"/>
      <c r="N479" s="62"/>
      <c r="O479" s="62"/>
      <c r="P479" s="62"/>
      <c r="Q479" s="62"/>
      <c r="R479" s="62"/>
      <c r="S479" s="258"/>
      <c r="T479" s="248" t="str">
        <f t="shared" si="67"/>
        <v/>
      </c>
      <c r="U479" s="249" t="str">
        <f t="shared" si="68"/>
        <v/>
      </c>
      <c r="V479" s="294" t="str">
        <f t="shared" si="64"/>
        <v/>
      </c>
      <c r="W479" s="294" t="str">
        <f>IF(((E479="")+(F479="")),"",IF(VLOOKUP(F479,Mannschaften!$A$1:$B$54,2,FALSE)&lt;&gt;E479,"Reiter Mannschaften füllen",""))</f>
        <v/>
      </c>
      <c r="X479" s="248" t="str">
        <f>IF(ISBLANK(C479),"",IF((U479&gt;(LOOKUP(E479,WKNrListe,Übersicht!$O$7:$O$46)))+(U479&lt;(LOOKUP(E479,WKNrListe,Übersicht!$P$7:$P$46))),"JG falsch",""))</f>
        <v/>
      </c>
      <c r="Y479" s="255" t="str">
        <f>IF((A479="")*(B479=""),"",IF(ISERROR(MATCH(E479,WKNrListe,0)),"WK falsch",LOOKUP(E479,WKNrListe,Übersicht!$B$7:$B$46)))</f>
        <v/>
      </c>
      <c r="Z479" s="269" t="str">
        <f>IF(((AJ479=0)*(AH479&lt;&gt;"")*(AK479="-"))+((AJ479&lt;&gt;0)*(AH479&lt;&gt;"")*(AK479="-")),IF(AG479="X",Übersicht!$C$70,Übersicht!$C$69),"-")</f>
        <v>-</v>
      </c>
      <c r="AA479" s="252" t="str">
        <f>IF((($A479="")*($B479=""))+((MID($Y479,1,4)&lt;&gt;"Wahl")*(Deckblatt!$C$14='WK-Vorlagen'!$C$82))+(Deckblatt!$C$14&lt;&gt;'WK-Vorlagen'!$C$82),"",IF(ISERROR(MATCH(VALUE(MID(G479,1,2)),Schwierigkeitsstufen!$G$7:$G$19,0)),"Gerät falsch",LOOKUP(VALUE(MID(G479,1,2)),Schwierigkeitsstufen!$G$7:$G$19,Schwierigkeitsstufen!$H$7:$H$19)))</f>
        <v/>
      </c>
      <c r="AB479" s="250" t="str">
        <f>IF((($A479="")*($B479=""))+((MID($Y479,1,4)&lt;&gt;"Wahl")*(Deckblatt!$C$14='WK-Vorlagen'!$C$82))+(Deckblatt!$C$14&lt;&gt;'WK-Vorlagen'!$C$82),"",IF(ISERROR(MATCH(VALUE(MID(H479,1,2)),Schwierigkeitsstufen!$G$7:$G$19,0)),"Gerät falsch",LOOKUP(VALUE(MID(H479,1,2)),Schwierigkeitsstufen!$G$7:$G$19,Schwierigkeitsstufen!$H$7:$H$19)))</f>
        <v/>
      </c>
      <c r="AC479" s="250" t="str">
        <f>IF((($A479="")*($B479=""))+((MID($Y479,1,4)&lt;&gt;"Wahl")*(Deckblatt!$C$14='WK-Vorlagen'!$C$82))+(Deckblatt!$C$14&lt;&gt;'WK-Vorlagen'!$C$82),"",IF(ISERROR(MATCH(VALUE(MID(I479,1,2)),Schwierigkeitsstufen!$G$7:$G$19,0)),"Gerät falsch",LOOKUP(VALUE(MID(I479,1,2)),Schwierigkeitsstufen!$G$7:$G$19,Schwierigkeitsstufen!$H$7:$H$19)))</f>
        <v/>
      </c>
      <c r="AD479" s="251" t="str">
        <f>IF((($A479="")*($B479=""))+((MID($Y479,1,4)&lt;&gt;"Wahl")*(Deckblatt!$C$14='WK-Vorlagen'!$C$82))+(Deckblatt!$C$14&lt;&gt;'WK-Vorlagen'!$C$82),"",IF(ISERROR(MATCH(VALUE(MID(J479,1,2)),Schwierigkeitsstufen!$G$7:$G$19,0)),"Gerät falsch",LOOKUP(VALUE(MID(J479,1,2)),Schwierigkeitsstufen!$G$7:$G$19,Schwierigkeitsstufen!$H$7:$H$19)))</f>
        <v/>
      </c>
      <c r="AE479" s="211"/>
      <c r="AG479" s="221" t="str">
        <f t="shared" si="63"/>
        <v/>
      </c>
      <c r="AH479" s="222" t="str">
        <f t="shared" si="65"/>
        <v/>
      </c>
      <c r="AI479" s="220">
        <f t="shared" si="70"/>
        <v>4</v>
      </c>
      <c r="AJ479" s="222">
        <f t="shared" si="66"/>
        <v>0</v>
      </c>
      <c r="AK479" s="299" t="str">
        <f>IF(ISERROR(LOOKUP(E479,WKNrListe,Übersicht!$R$7:$R$46)),"-",LOOKUP(E479,WKNrListe,Übersicht!$R$7:$R$46))</f>
        <v>-</v>
      </c>
      <c r="AL479" s="299" t="str">
        <f t="shared" si="69"/>
        <v>-</v>
      </c>
      <c r="AM479" s="303"/>
      <c r="AN479" s="174" t="str">
        <f t="shared" si="62"/>
        <v>Leer</v>
      </c>
    </row>
    <row r="480" spans="1:40" s="174" customFormat="1" ht="15" customHeight="1">
      <c r="A480" s="63"/>
      <c r="B480" s="63"/>
      <c r="C480" s="84"/>
      <c r="D480" s="85"/>
      <c r="E480" s="62"/>
      <c r="F480" s="62"/>
      <c r="G480" s="62"/>
      <c r="H480" s="62"/>
      <c r="I480" s="62"/>
      <c r="J480" s="62"/>
      <c r="K480" s="62"/>
      <c r="L480" s="62"/>
      <c r="M480" s="62"/>
      <c r="N480" s="62"/>
      <c r="O480" s="62"/>
      <c r="P480" s="62"/>
      <c r="Q480" s="62"/>
      <c r="R480" s="62"/>
      <c r="S480" s="258"/>
      <c r="T480" s="248" t="str">
        <f t="shared" si="67"/>
        <v/>
      </c>
      <c r="U480" s="249" t="str">
        <f t="shared" si="68"/>
        <v/>
      </c>
      <c r="V480" s="294" t="str">
        <f t="shared" si="64"/>
        <v/>
      </c>
      <c r="W480" s="294" t="str">
        <f>IF(((E480="")+(F480="")),"",IF(VLOOKUP(F480,Mannschaften!$A$1:$B$54,2,FALSE)&lt;&gt;E480,"Reiter Mannschaften füllen",""))</f>
        <v/>
      </c>
      <c r="X480" s="248" t="str">
        <f>IF(ISBLANK(C480),"",IF((U480&gt;(LOOKUP(E480,WKNrListe,Übersicht!$O$7:$O$46)))+(U480&lt;(LOOKUP(E480,WKNrListe,Übersicht!$P$7:$P$46))),"JG falsch",""))</f>
        <v/>
      </c>
      <c r="Y480" s="255" t="str">
        <f>IF((A480="")*(B480=""),"",IF(ISERROR(MATCH(E480,WKNrListe,0)),"WK falsch",LOOKUP(E480,WKNrListe,Übersicht!$B$7:$B$46)))</f>
        <v/>
      </c>
      <c r="Z480" s="269" t="str">
        <f>IF(((AJ480=0)*(AH480&lt;&gt;"")*(AK480="-"))+((AJ480&lt;&gt;0)*(AH480&lt;&gt;"")*(AK480="-")),IF(AG480="X",Übersicht!$C$70,Übersicht!$C$69),"-")</f>
        <v>-</v>
      </c>
      <c r="AA480" s="252" t="str">
        <f>IF((($A480="")*($B480=""))+((MID($Y480,1,4)&lt;&gt;"Wahl")*(Deckblatt!$C$14='WK-Vorlagen'!$C$82))+(Deckblatt!$C$14&lt;&gt;'WK-Vorlagen'!$C$82),"",IF(ISERROR(MATCH(VALUE(MID(G480,1,2)),Schwierigkeitsstufen!$G$7:$G$19,0)),"Gerät falsch",LOOKUP(VALUE(MID(G480,1,2)),Schwierigkeitsstufen!$G$7:$G$19,Schwierigkeitsstufen!$H$7:$H$19)))</f>
        <v/>
      </c>
      <c r="AB480" s="250" t="str">
        <f>IF((($A480="")*($B480=""))+((MID($Y480,1,4)&lt;&gt;"Wahl")*(Deckblatt!$C$14='WK-Vorlagen'!$C$82))+(Deckblatt!$C$14&lt;&gt;'WK-Vorlagen'!$C$82),"",IF(ISERROR(MATCH(VALUE(MID(H480,1,2)),Schwierigkeitsstufen!$G$7:$G$19,0)),"Gerät falsch",LOOKUP(VALUE(MID(H480,1,2)),Schwierigkeitsstufen!$G$7:$G$19,Schwierigkeitsstufen!$H$7:$H$19)))</f>
        <v/>
      </c>
      <c r="AC480" s="250" t="str">
        <f>IF((($A480="")*($B480=""))+((MID($Y480,1,4)&lt;&gt;"Wahl")*(Deckblatt!$C$14='WK-Vorlagen'!$C$82))+(Deckblatt!$C$14&lt;&gt;'WK-Vorlagen'!$C$82),"",IF(ISERROR(MATCH(VALUE(MID(I480,1,2)),Schwierigkeitsstufen!$G$7:$G$19,0)),"Gerät falsch",LOOKUP(VALUE(MID(I480,1,2)),Schwierigkeitsstufen!$G$7:$G$19,Schwierigkeitsstufen!$H$7:$H$19)))</f>
        <v/>
      </c>
      <c r="AD480" s="251" t="str">
        <f>IF((($A480="")*($B480=""))+((MID($Y480,1,4)&lt;&gt;"Wahl")*(Deckblatt!$C$14='WK-Vorlagen'!$C$82))+(Deckblatt!$C$14&lt;&gt;'WK-Vorlagen'!$C$82),"",IF(ISERROR(MATCH(VALUE(MID(J480,1,2)),Schwierigkeitsstufen!$G$7:$G$19,0)),"Gerät falsch",LOOKUP(VALUE(MID(J480,1,2)),Schwierigkeitsstufen!$G$7:$G$19,Schwierigkeitsstufen!$H$7:$H$19)))</f>
        <v/>
      </c>
      <c r="AE480" s="211"/>
      <c r="AG480" s="221" t="str">
        <f t="shared" si="63"/>
        <v/>
      </c>
      <c r="AH480" s="222" t="str">
        <f t="shared" si="65"/>
        <v/>
      </c>
      <c r="AI480" s="220">
        <f t="shared" si="70"/>
        <v>4</v>
      </c>
      <c r="AJ480" s="222">
        <f t="shared" si="66"/>
        <v>0</v>
      </c>
      <c r="AK480" s="299" t="str">
        <f>IF(ISERROR(LOOKUP(E480,WKNrListe,Übersicht!$R$7:$R$46)),"-",LOOKUP(E480,WKNrListe,Übersicht!$R$7:$R$46))</f>
        <v>-</v>
      </c>
      <c r="AL480" s="299" t="str">
        <f t="shared" si="69"/>
        <v>-</v>
      </c>
      <c r="AM480" s="303"/>
      <c r="AN480" s="174" t="str">
        <f t="shared" si="62"/>
        <v>Leer</v>
      </c>
    </row>
    <row r="481" spans="1:40" s="174" customFormat="1" ht="15" customHeight="1">
      <c r="A481" s="63"/>
      <c r="B481" s="63"/>
      <c r="C481" s="84"/>
      <c r="D481" s="85"/>
      <c r="E481" s="62"/>
      <c r="F481" s="62"/>
      <c r="G481" s="62"/>
      <c r="H481" s="62"/>
      <c r="I481" s="62"/>
      <c r="J481" s="62"/>
      <c r="K481" s="62"/>
      <c r="L481" s="62"/>
      <c r="M481" s="62"/>
      <c r="N481" s="62"/>
      <c r="O481" s="62"/>
      <c r="P481" s="62"/>
      <c r="Q481" s="62"/>
      <c r="R481" s="62"/>
      <c r="S481" s="258"/>
      <c r="T481" s="248" t="str">
        <f t="shared" si="67"/>
        <v/>
      </c>
      <c r="U481" s="249" t="str">
        <f t="shared" si="68"/>
        <v/>
      </c>
      <c r="V481" s="294" t="str">
        <f t="shared" si="64"/>
        <v/>
      </c>
      <c r="W481" s="294" t="str">
        <f>IF(((E481="")+(F481="")),"",IF(VLOOKUP(F481,Mannschaften!$A$1:$B$54,2,FALSE)&lt;&gt;E481,"Reiter Mannschaften füllen",""))</f>
        <v/>
      </c>
      <c r="X481" s="248" t="str">
        <f>IF(ISBLANK(C481),"",IF((U481&gt;(LOOKUP(E481,WKNrListe,Übersicht!$O$7:$O$46)))+(U481&lt;(LOOKUP(E481,WKNrListe,Übersicht!$P$7:$P$46))),"JG falsch",""))</f>
        <v/>
      </c>
      <c r="Y481" s="255" t="str">
        <f>IF((A481="")*(B481=""),"",IF(ISERROR(MATCH(E481,WKNrListe,0)),"WK falsch",LOOKUP(E481,WKNrListe,Übersicht!$B$7:$B$46)))</f>
        <v/>
      </c>
      <c r="Z481" s="269" t="str">
        <f>IF(((AJ481=0)*(AH481&lt;&gt;"")*(AK481="-"))+((AJ481&lt;&gt;0)*(AH481&lt;&gt;"")*(AK481="-")),IF(AG481="X",Übersicht!$C$70,Übersicht!$C$69),"-")</f>
        <v>-</v>
      </c>
      <c r="AA481" s="252" t="str">
        <f>IF((($A481="")*($B481=""))+((MID($Y481,1,4)&lt;&gt;"Wahl")*(Deckblatt!$C$14='WK-Vorlagen'!$C$82))+(Deckblatt!$C$14&lt;&gt;'WK-Vorlagen'!$C$82),"",IF(ISERROR(MATCH(VALUE(MID(G481,1,2)),Schwierigkeitsstufen!$G$7:$G$19,0)),"Gerät falsch",LOOKUP(VALUE(MID(G481,1,2)),Schwierigkeitsstufen!$G$7:$G$19,Schwierigkeitsstufen!$H$7:$H$19)))</f>
        <v/>
      </c>
      <c r="AB481" s="250" t="str">
        <f>IF((($A481="")*($B481=""))+((MID($Y481,1,4)&lt;&gt;"Wahl")*(Deckblatt!$C$14='WK-Vorlagen'!$C$82))+(Deckblatt!$C$14&lt;&gt;'WK-Vorlagen'!$C$82),"",IF(ISERROR(MATCH(VALUE(MID(H481,1,2)),Schwierigkeitsstufen!$G$7:$G$19,0)),"Gerät falsch",LOOKUP(VALUE(MID(H481,1,2)),Schwierigkeitsstufen!$G$7:$G$19,Schwierigkeitsstufen!$H$7:$H$19)))</f>
        <v/>
      </c>
      <c r="AC481" s="250" t="str">
        <f>IF((($A481="")*($B481=""))+((MID($Y481,1,4)&lt;&gt;"Wahl")*(Deckblatt!$C$14='WK-Vorlagen'!$C$82))+(Deckblatt!$C$14&lt;&gt;'WK-Vorlagen'!$C$82),"",IF(ISERROR(MATCH(VALUE(MID(I481,1,2)),Schwierigkeitsstufen!$G$7:$G$19,0)),"Gerät falsch",LOOKUP(VALUE(MID(I481,1,2)),Schwierigkeitsstufen!$G$7:$G$19,Schwierigkeitsstufen!$H$7:$H$19)))</f>
        <v/>
      </c>
      <c r="AD481" s="251" t="str">
        <f>IF((($A481="")*($B481=""))+((MID($Y481,1,4)&lt;&gt;"Wahl")*(Deckblatt!$C$14='WK-Vorlagen'!$C$82))+(Deckblatt!$C$14&lt;&gt;'WK-Vorlagen'!$C$82),"",IF(ISERROR(MATCH(VALUE(MID(J481,1,2)),Schwierigkeitsstufen!$G$7:$G$19,0)),"Gerät falsch",LOOKUP(VALUE(MID(J481,1,2)),Schwierigkeitsstufen!$G$7:$G$19,Schwierigkeitsstufen!$H$7:$H$19)))</f>
        <v/>
      </c>
      <c r="AE481" s="211"/>
      <c r="AG481" s="221" t="str">
        <f t="shared" si="63"/>
        <v/>
      </c>
      <c r="AH481" s="222" t="str">
        <f t="shared" si="65"/>
        <v/>
      </c>
      <c r="AI481" s="220">
        <f t="shared" si="70"/>
        <v>4</v>
      </c>
      <c r="AJ481" s="222">
        <f t="shared" si="66"/>
        <v>0</v>
      </c>
      <c r="AK481" s="299" t="str">
        <f>IF(ISERROR(LOOKUP(E481,WKNrListe,Übersicht!$R$7:$R$46)),"-",LOOKUP(E481,WKNrListe,Übersicht!$R$7:$R$46))</f>
        <v>-</v>
      </c>
      <c r="AL481" s="299" t="str">
        <f t="shared" si="69"/>
        <v>-</v>
      </c>
      <c r="AM481" s="303"/>
      <c r="AN481" s="174" t="str">
        <f t="shared" si="62"/>
        <v>Leer</v>
      </c>
    </row>
    <row r="482" spans="1:40" s="174" customFormat="1" ht="15" customHeight="1">
      <c r="A482" s="63"/>
      <c r="B482" s="63"/>
      <c r="C482" s="84"/>
      <c r="D482" s="85"/>
      <c r="E482" s="62"/>
      <c r="F482" s="62"/>
      <c r="G482" s="62"/>
      <c r="H482" s="62"/>
      <c r="I482" s="62"/>
      <c r="J482" s="62"/>
      <c r="K482" s="62"/>
      <c r="L482" s="62"/>
      <c r="M482" s="62"/>
      <c r="N482" s="62"/>
      <c r="O482" s="62"/>
      <c r="P482" s="62"/>
      <c r="Q482" s="62"/>
      <c r="R482" s="62"/>
      <c r="S482" s="258"/>
      <c r="T482" s="248" t="str">
        <f t="shared" si="67"/>
        <v/>
      </c>
      <c r="U482" s="249" t="str">
        <f t="shared" si="68"/>
        <v/>
      </c>
      <c r="V482" s="294" t="str">
        <f t="shared" si="64"/>
        <v/>
      </c>
      <c r="W482" s="294" t="str">
        <f>IF(((E482="")+(F482="")),"",IF(VLOOKUP(F482,Mannschaften!$A$1:$B$54,2,FALSE)&lt;&gt;E482,"Reiter Mannschaften füllen",""))</f>
        <v/>
      </c>
      <c r="X482" s="248" t="str">
        <f>IF(ISBLANK(C482),"",IF((U482&gt;(LOOKUP(E482,WKNrListe,Übersicht!$O$7:$O$46)))+(U482&lt;(LOOKUP(E482,WKNrListe,Übersicht!$P$7:$P$46))),"JG falsch",""))</f>
        <v/>
      </c>
      <c r="Y482" s="255" t="str">
        <f>IF((A482="")*(B482=""),"",IF(ISERROR(MATCH(E482,WKNrListe,0)),"WK falsch",LOOKUP(E482,WKNrListe,Übersicht!$B$7:$B$46)))</f>
        <v/>
      </c>
      <c r="Z482" s="269" t="str">
        <f>IF(((AJ482=0)*(AH482&lt;&gt;"")*(AK482="-"))+((AJ482&lt;&gt;0)*(AH482&lt;&gt;"")*(AK482="-")),IF(AG482="X",Übersicht!$C$70,Übersicht!$C$69),"-")</f>
        <v>-</v>
      </c>
      <c r="AA482" s="252" t="str">
        <f>IF((($A482="")*($B482=""))+((MID($Y482,1,4)&lt;&gt;"Wahl")*(Deckblatt!$C$14='WK-Vorlagen'!$C$82))+(Deckblatt!$C$14&lt;&gt;'WK-Vorlagen'!$C$82),"",IF(ISERROR(MATCH(VALUE(MID(G482,1,2)),Schwierigkeitsstufen!$G$7:$G$19,0)),"Gerät falsch",LOOKUP(VALUE(MID(G482,1,2)),Schwierigkeitsstufen!$G$7:$G$19,Schwierigkeitsstufen!$H$7:$H$19)))</f>
        <v/>
      </c>
      <c r="AB482" s="250" t="str">
        <f>IF((($A482="")*($B482=""))+((MID($Y482,1,4)&lt;&gt;"Wahl")*(Deckblatt!$C$14='WK-Vorlagen'!$C$82))+(Deckblatt!$C$14&lt;&gt;'WK-Vorlagen'!$C$82),"",IF(ISERROR(MATCH(VALUE(MID(H482,1,2)),Schwierigkeitsstufen!$G$7:$G$19,0)),"Gerät falsch",LOOKUP(VALUE(MID(H482,1,2)),Schwierigkeitsstufen!$G$7:$G$19,Schwierigkeitsstufen!$H$7:$H$19)))</f>
        <v/>
      </c>
      <c r="AC482" s="250" t="str">
        <f>IF((($A482="")*($B482=""))+((MID($Y482,1,4)&lt;&gt;"Wahl")*(Deckblatt!$C$14='WK-Vorlagen'!$C$82))+(Deckblatt!$C$14&lt;&gt;'WK-Vorlagen'!$C$82),"",IF(ISERROR(MATCH(VALUE(MID(I482,1,2)),Schwierigkeitsstufen!$G$7:$G$19,0)),"Gerät falsch",LOOKUP(VALUE(MID(I482,1,2)),Schwierigkeitsstufen!$G$7:$G$19,Schwierigkeitsstufen!$H$7:$H$19)))</f>
        <v/>
      </c>
      <c r="AD482" s="251" t="str">
        <f>IF((($A482="")*($B482=""))+((MID($Y482,1,4)&lt;&gt;"Wahl")*(Deckblatt!$C$14='WK-Vorlagen'!$C$82))+(Deckblatt!$C$14&lt;&gt;'WK-Vorlagen'!$C$82),"",IF(ISERROR(MATCH(VALUE(MID(J482,1,2)),Schwierigkeitsstufen!$G$7:$G$19,0)),"Gerät falsch",LOOKUP(VALUE(MID(J482,1,2)),Schwierigkeitsstufen!$G$7:$G$19,Schwierigkeitsstufen!$H$7:$H$19)))</f>
        <v/>
      </c>
      <c r="AE482" s="211"/>
      <c r="AG482" s="221" t="str">
        <f t="shared" si="63"/>
        <v/>
      </c>
      <c r="AH482" s="222" t="str">
        <f t="shared" si="65"/>
        <v/>
      </c>
      <c r="AI482" s="220">
        <f t="shared" si="70"/>
        <v>4</v>
      </c>
      <c r="AJ482" s="222">
        <f t="shared" si="66"/>
        <v>0</v>
      </c>
      <c r="AK482" s="299" t="str">
        <f>IF(ISERROR(LOOKUP(E482,WKNrListe,Übersicht!$R$7:$R$46)),"-",LOOKUP(E482,WKNrListe,Übersicht!$R$7:$R$46))</f>
        <v>-</v>
      </c>
      <c r="AL482" s="299" t="str">
        <f t="shared" si="69"/>
        <v>-</v>
      </c>
      <c r="AM482" s="303"/>
      <c r="AN482" s="174" t="str">
        <f t="shared" si="62"/>
        <v>Leer</v>
      </c>
    </row>
    <row r="483" spans="1:40" s="174" customFormat="1" ht="15" customHeight="1">
      <c r="A483" s="63"/>
      <c r="B483" s="63"/>
      <c r="C483" s="84"/>
      <c r="D483" s="85"/>
      <c r="E483" s="62"/>
      <c r="F483" s="62"/>
      <c r="G483" s="62"/>
      <c r="H483" s="62"/>
      <c r="I483" s="62"/>
      <c r="J483" s="62"/>
      <c r="K483" s="62"/>
      <c r="L483" s="62"/>
      <c r="M483" s="62"/>
      <c r="N483" s="62"/>
      <c r="O483" s="62"/>
      <c r="P483" s="62"/>
      <c r="Q483" s="62"/>
      <c r="R483" s="62"/>
      <c r="S483" s="258"/>
      <c r="T483" s="248" t="str">
        <f t="shared" si="67"/>
        <v/>
      </c>
      <c r="U483" s="249" t="str">
        <f t="shared" si="68"/>
        <v/>
      </c>
      <c r="V483" s="294" t="str">
        <f t="shared" si="64"/>
        <v/>
      </c>
      <c r="W483" s="294" t="str">
        <f>IF(((E483="")+(F483="")),"",IF(VLOOKUP(F483,Mannschaften!$A$1:$B$54,2,FALSE)&lt;&gt;E483,"Reiter Mannschaften füllen",""))</f>
        <v/>
      </c>
      <c r="X483" s="248" t="str">
        <f>IF(ISBLANK(C483),"",IF((U483&gt;(LOOKUP(E483,WKNrListe,Übersicht!$O$7:$O$46)))+(U483&lt;(LOOKUP(E483,WKNrListe,Übersicht!$P$7:$P$46))),"JG falsch",""))</f>
        <v/>
      </c>
      <c r="Y483" s="255" t="str">
        <f>IF((A483="")*(B483=""),"",IF(ISERROR(MATCH(E483,WKNrListe,0)),"WK falsch",LOOKUP(E483,WKNrListe,Übersicht!$B$7:$B$46)))</f>
        <v/>
      </c>
      <c r="Z483" s="269" t="str">
        <f>IF(((AJ483=0)*(AH483&lt;&gt;"")*(AK483="-"))+((AJ483&lt;&gt;0)*(AH483&lt;&gt;"")*(AK483="-")),IF(AG483="X",Übersicht!$C$70,Übersicht!$C$69),"-")</f>
        <v>-</v>
      </c>
      <c r="AA483" s="252" t="str">
        <f>IF((($A483="")*($B483=""))+((MID($Y483,1,4)&lt;&gt;"Wahl")*(Deckblatt!$C$14='WK-Vorlagen'!$C$82))+(Deckblatt!$C$14&lt;&gt;'WK-Vorlagen'!$C$82),"",IF(ISERROR(MATCH(VALUE(MID(G483,1,2)),Schwierigkeitsstufen!$G$7:$G$19,0)),"Gerät falsch",LOOKUP(VALUE(MID(G483,1,2)),Schwierigkeitsstufen!$G$7:$G$19,Schwierigkeitsstufen!$H$7:$H$19)))</f>
        <v/>
      </c>
      <c r="AB483" s="250" t="str">
        <f>IF((($A483="")*($B483=""))+((MID($Y483,1,4)&lt;&gt;"Wahl")*(Deckblatt!$C$14='WK-Vorlagen'!$C$82))+(Deckblatt!$C$14&lt;&gt;'WK-Vorlagen'!$C$82),"",IF(ISERROR(MATCH(VALUE(MID(H483,1,2)),Schwierigkeitsstufen!$G$7:$G$19,0)),"Gerät falsch",LOOKUP(VALUE(MID(H483,1,2)),Schwierigkeitsstufen!$G$7:$G$19,Schwierigkeitsstufen!$H$7:$H$19)))</f>
        <v/>
      </c>
      <c r="AC483" s="250" t="str">
        <f>IF((($A483="")*($B483=""))+((MID($Y483,1,4)&lt;&gt;"Wahl")*(Deckblatt!$C$14='WK-Vorlagen'!$C$82))+(Deckblatt!$C$14&lt;&gt;'WK-Vorlagen'!$C$82),"",IF(ISERROR(MATCH(VALUE(MID(I483,1,2)),Schwierigkeitsstufen!$G$7:$G$19,0)),"Gerät falsch",LOOKUP(VALUE(MID(I483,1,2)),Schwierigkeitsstufen!$G$7:$G$19,Schwierigkeitsstufen!$H$7:$H$19)))</f>
        <v/>
      </c>
      <c r="AD483" s="251" t="str">
        <f>IF((($A483="")*($B483=""))+((MID($Y483,1,4)&lt;&gt;"Wahl")*(Deckblatt!$C$14='WK-Vorlagen'!$C$82))+(Deckblatt!$C$14&lt;&gt;'WK-Vorlagen'!$C$82),"",IF(ISERROR(MATCH(VALUE(MID(J483,1,2)),Schwierigkeitsstufen!$G$7:$G$19,0)),"Gerät falsch",LOOKUP(VALUE(MID(J483,1,2)),Schwierigkeitsstufen!$G$7:$G$19,Schwierigkeitsstufen!$H$7:$H$19)))</f>
        <v/>
      </c>
      <c r="AE483" s="211"/>
      <c r="AG483" s="221" t="str">
        <f t="shared" si="63"/>
        <v/>
      </c>
      <c r="AH483" s="222" t="str">
        <f t="shared" si="65"/>
        <v/>
      </c>
      <c r="AI483" s="220">
        <f t="shared" si="70"/>
        <v>4</v>
      </c>
      <c r="AJ483" s="222">
        <f t="shared" si="66"/>
        <v>0</v>
      </c>
      <c r="AK483" s="299" t="str">
        <f>IF(ISERROR(LOOKUP(E483,WKNrListe,Übersicht!$R$7:$R$46)),"-",LOOKUP(E483,WKNrListe,Übersicht!$R$7:$R$46))</f>
        <v>-</v>
      </c>
      <c r="AL483" s="299" t="str">
        <f t="shared" si="69"/>
        <v>-</v>
      </c>
      <c r="AM483" s="303"/>
      <c r="AN483" s="174" t="str">
        <f t="shared" si="62"/>
        <v>Leer</v>
      </c>
    </row>
    <row r="484" spans="1:40" s="174" customFormat="1" ht="15" customHeight="1">
      <c r="A484" s="63"/>
      <c r="B484" s="63"/>
      <c r="C484" s="84"/>
      <c r="D484" s="85"/>
      <c r="E484" s="62"/>
      <c r="F484" s="62"/>
      <c r="G484" s="62"/>
      <c r="H484" s="62"/>
      <c r="I484" s="62"/>
      <c r="J484" s="62"/>
      <c r="K484" s="62"/>
      <c r="L484" s="62"/>
      <c r="M484" s="62"/>
      <c r="N484" s="62"/>
      <c r="O484" s="62"/>
      <c r="P484" s="62"/>
      <c r="Q484" s="62"/>
      <c r="R484" s="62"/>
      <c r="S484" s="258"/>
      <c r="T484" s="248" t="str">
        <f t="shared" si="67"/>
        <v/>
      </c>
      <c r="U484" s="249" t="str">
        <f t="shared" si="68"/>
        <v/>
      </c>
      <c r="V484" s="294" t="str">
        <f t="shared" si="64"/>
        <v/>
      </c>
      <c r="W484" s="294" t="str">
        <f>IF(((E484="")+(F484="")),"",IF(VLOOKUP(F484,Mannschaften!$A$1:$B$54,2,FALSE)&lt;&gt;E484,"Reiter Mannschaften füllen",""))</f>
        <v/>
      </c>
      <c r="X484" s="248" t="str">
        <f>IF(ISBLANK(C484),"",IF((U484&gt;(LOOKUP(E484,WKNrListe,Übersicht!$O$7:$O$46)))+(U484&lt;(LOOKUP(E484,WKNrListe,Übersicht!$P$7:$P$46))),"JG falsch",""))</f>
        <v/>
      </c>
      <c r="Y484" s="255" t="str">
        <f>IF((A484="")*(B484=""),"",IF(ISERROR(MATCH(E484,WKNrListe,0)),"WK falsch",LOOKUP(E484,WKNrListe,Übersicht!$B$7:$B$46)))</f>
        <v/>
      </c>
      <c r="Z484" s="269" t="str">
        <f>IF(((AJ484=0)*(AH484&lt;&gt;"")*(AK484="-"))+((AJ484&lt;&gt;0)*(AH484&lt;&gt;"")*(AK484="-")),IF(AG484="X",Übersicht!$C$70,Übersicht!$C$69),"-")</f>
        <v>-</v>
      </c>
      <c r="AA484" s="252" t="str">
        <f>IF((($A484="")*($B484=""))+((MID($Y484,1,4)&lt;&gt;"Wahl")*(Deckblatt!$C$14='WK-Vorlagen'!$C$82))+(Deckblatt!$C$14&lt;&gt;'WK-Vorlagen'!$C$82),"",IF(ISERROR(MATCH(VALUE(MID(G484,1,2)),Schwierigkeitsstufen!$G$7:$G$19,0)),"Gerät falsch",LOOKUP(VALUE(MID(G484,1,2)),Schwierigkeitsstufen!$G$7:$G$19,Schwierigkeitsstufen!$H$7:$H$19)))</f>
        <v/>
      </c>
      <c r="AB484" s="250" t="str">
        <f>IF((($A484="")*($B484=""))+((MID($Y484,1,4)&lt;&gt;"Wahl")*(Deckblatt!$C$14='WK-Vorlagen'!$C$82))+(Deckblatt!$C$14&lt;&gt;'WK-Vorlagen'!$C$82),"",IF(ISERROR(MATCH(VALUE(MID(H484,1,2)),Schwierigkeitsstufen!$G$7:$G$19,0)),"Gerät falsch",LOOKUP(VALUE(MID(H484,1,2)),Schwierigkeitsstufen!$G$7:$G$19,Schwierigkeitsstufen!$H$7:$H$19)))</f>
        <v/>
      </c>
      <c r="AC484" s="250" t="str">
        <f>IF((($A484="")*($B484=""))+((MID($Y484,1,4)&lt;&gt;"Wahl")*(Deckblatt!$C$14='WK-Vorlagen'!$C$82))+(Deckblatt!$C$14&lt;&gt;'WK-Vorlagen'!$C$82),"",IF(ISERROR(MATCH(VALUE(MID(I484,1,2)),Schwierigkeitsstufen!$G$7:$G$19,0)),"Gerät falsch",LOOKUP(VALUE(MID(I484,1,2)),Schwierigkeitsstufen!$G$7:$G$19,Schwierigkeitsstufen!$H$7:$H$19)))</f>
        <v/>
      </c>
      <c r="AD484" s="251" t="str">
        <f>IF((($A484="")*($B484=""))+((MID($Y484,1,4)&lt;&gt;"Wahl")*(Deckblatt!$C$14='WK-Vorlagen'!$C$82))+(Deckblatt!$C$14&lt;&gt;'WK-Vorlagen'!$C$82),"",IF(ISERROR(MATCH(VALUE(MID(J484,1,2)),Schwierigkeitsstufen!$G$7:$G$19,0)),"Gerät falsch",LOOKUP(VALUE(MID(J484,1,2)),Schwierigkeitsstufen!$G$7:$G$19,Schwierigkeitsstufen!$H$7:$H$19)))</f>
        <v/>
      </c>
      <c r="AE484" s="211"/>
      <c r="AG484" s="221" t="str">
        <f t="shared" si="63"/>
        <v/>
      </c>
      <c r="AH484" s="222" t="str">
        <f t="shared" si="65"/>
        <v/>
      </c>
      <c r="AI484" s="220">
        <f t="shared" si="70"/>
        <v>4</v>
      </c>
      <c r="AJ484" s="222">
        <f t="shared" si="66"/>
        <v>0</v>
      </c>
      <c r="AK484" s="299" t="str">
        <f>IF(ISERROR(LOOKUP(E484,WKNrListe,Übersicht!$R$7:$R$46)),"-",LOOKUP(E484,WKNrListe,Übersicht!$R$7:$R$46))</f>
        <v>-</v>
      </c>
      <c r="AL484" s="299" t="str">
        <f t="shared" si="69"/>
        <v>-</v>
      </c>
      <c r="AM484" s="303"/>
      <c r="AN484" s="174" t="str">
        <f t="shared" si="62"/>
        <v>Leer</v>
      </c>
    </row>
    <row r="485" spans="1:40" s="174" customFormat="1" ht="15" customHeight="1">
      <c r="A485" s="63"/>
      <c r="B485" s="63"/>
      <c r="C485" s="84"/>
      <c r="D485" s="85"/>
      <c r="E485" s="62"/>
      <c r="F485" s="62"/>
      <c r="G485" s="62"/>
      <c r="H485" s="62"/>
      <c r="I485" s="62"/>
      <c r="J485" s="62"/>
      <c r="K485" s="62"/>
      <c r="L485" s="62"/>
      <c r="M485" s="62"/>
      <c r="N485" s="62"/>
      <c r="O485" s="62"/>
      <c r="P485" s="62"/>
      <c r="Q485" s="62"/>
      <c r="R485" s="62"/>
      <c r="S485" s="258"/>
      <c r="T485" s="248" t="str">
        <f t="shared" si="67"/>
        <v/>
      </c>
      <c r="U485" s="249" t="str">
        <f t="shared" si="68"/>
        <v/>
      </c>
      <c r="V485" s="294" t="str">
        <f t="shared" si="64"/>
        <v/>
      </c>
      <c r="W485" s="294" t="str">
        <f>IF(((E485="")+(F485="")),"",IF(VLOOKUP(F485,Mannschaften!$A$1:$B$54,2,FALSE)&lt;&gt;E485,"Reiter Mannschaften füllen",""))</f>
        <v/>
      </c>
      <c r="X485" s="248" t="str">
        <f>IF(ISBLANK(C485),"",IF((U485&gt;(LOOKUP(E485,WKNrListe,Übersicht!$O$7:$O$46)))+(U485&lt;(LOOKUP(E485,WKNrListe,Übersicht!$P$7:$P$46))),"JG falsch",""))</f>
        <v/>
      </c>
      <c r="Y485" s="255" t="str">
        <f>IF((A485="")*(B485=""),"",IF(ISERROR(MATCH(E485,WKNrListe,0)),"WK falsch",LOOKUP(E485,WKNrListe,Übersicht!$B$7:$B$46)))</f>
        <v/>
      </c>
      <c r="Z485" s="269" t="str">
        <f>IF(((AJ485=0)*(AH485&lt;&gt;"")*(AK485="-"))+((AJ485&lt;&gt;0)*(AH485&lt;&gt;"")*(AK485="-")),IF(AG485="X",Übersicht!$C$70,Übersicht!$C$69),"-")</f>
        <v>-</v>
      </c>
      <c r="AA485" s="252" t="str">
        <f>IF((($A485="")*($B485=""))+((MID($Y485,1,4)&lt;&gt;"Wahl")*(Deckblatt!$C$14='WK-Vorlagen'!$C$82))+(Deckblatt!$C$14&lt;&gt;'WK-Vorlagen'!$C$82),"",IF(ISERROR(MATCH(VALUE(MID(G485,1,2)),Schwierigkeitsstufen!$G$7:$G$19,0)),"Gerät falsch",LOOKUP(VALUE(MID(G485,1,2)),Schwierigkeitsstufen!$G$7:$G$19,Schwierigkeitsstufen!$H$7:$H$19)))</f>
        <v/>
      </c>
      <c r="AB485" s="250" t="str">
        <f>IF((($A485="")*($B485=""))+((MID($Y485,1,4)&lt;&gt;"Wahl")*(Deckblatt!$C$14='WK-Vorlagen'!$C$82))+(Deckblatt!$C$14&lt;&gt;'WK-Vorlagen'!$C$82),"",IF(ISERROR(MATCH(VALUE(MID(H485,1,2)),Schwierigkeitsstufen!$G$7:$G$19,0)),"Gerät falsch",LOOKUP(VALUE(MID(H485,1,2)),Schwierigkeitsstufen!$G$7:$G$19,Schwierigkeitsstufen!$H$7:$H$19)))</f>
        <v/>
      </c>
      <c r="AC485" s="250" t="str">
        <f>IF((($A485="")*($B485=""))+((MID($Y485,1,4)&lt;&gt;"Wahl")*(Deckblatt!$C$14='WK-Vorlagen'!$C$82))+(Deckblatt!$C$14&lt;&gt;'WK-Vorlagen'!$C$82),"",IF(ISERROR(MATCH(VALUE(MID(I485,1,2)),Schwierigkeitsstufen!$G$7:$G$19,0)),"Gerät falsch",LOOKUP(VALUE(MID(I485,1,2)),Schwierigkeitsstufen!$G$7:$G$19,Schwierigkeitsstufen!$H$7:$H$19)))</f>
        <v/>
      </c>
      <c r="AD485" s="251" t="str">
        <f>IF((($A485="")*($B485=""))+((MID($Y485,1,4)&lt;&gt;"Wahl")*(Deckblatt!$C$14='WK-Vorlagen'!$C$82))+(Deckblatt!$C$14&lt;&gt;'WK-Vorlagen'!$C$82),"",IF(ISERROR(MATCH(VALUE(MID(J485,1,2)),Schwierigkeitsstufen!$G$7:$G$19,0)),"Gerät falsch",LOOKUP(VALUE(MID(J485,1,2)),Schwierigkeitsstufen!$G$7:$G$19,Schwierigkeitsstufen!$H$7:$H$19)))</f>
        <v/>
      </c>
      <c r="AE485" s="211"/>
      <c r="AG485" s="221" t="str">
        <f t="shared" si="63"/>
        <v/>
      </c>
      <c r="AH485" s="222" t="str">
        <f t="shared" si="65"/>
        <v/>
      </c>
      <c r="AI485" s="220">
        <f t="shared" si="70"/>
        <v>4</v>
      </c>
      <c r="AJ485" s="222">
        <f t="shared" si="66"/>
        <v>0</v>
      </c>
      <c r="AK485" s="299" t="str">
        <f>IF(ISERROR(LOOKUP(E485,WKNrListe,Übersicht!$R$7:$R$46)),"-",LOOKUP(E485,WKNrListe,Übersicht!$R$7:$R$46))</f>
        <v>-</v>
      </c>
      <c r="AL485" s="299" t="str">
        <f t="shared" si="69"/>
        <v>-</v>
      </c>
      <c r="AM485" s="303"/>
      <c r="AN485" s="174" t="str">
        <f t="shared" si="62"/>
        <v>Leer</v>
      </c>
    </row>
    <row r="486" spans="1:40" s="174" customFormat="1" ht="15" customHeight="1">
      <c r="A486" s="63"/>
      <c r="B486" s="63"/>
      <c r="C486" s="84"/>
      <c r="D486" s="85"/>
      <c r="E486" s="62"/>
      <c r="F486" s="62"/>
      <c r="G486" s="62"/>
      <c r="H486" s="62"/>
      <c r="I486" s="62"/>
      <c r="J486" s="62"/>
      <c r="K486" s="62"/>
      <c r="L486" s="62"/>
      <c r="M486" s="62"/>
      <c r="N486" s="62"/>
      <c r="O486" s="62"/>
      <c r="P486" s="62"/>
      <c r="Q486" s="62"/>
      <c r="R486" s="62"/>
      <c r="S486" s="258"/>
      <c r="T486" s="248" t="str">
        <f t="shared" si="67"/>
        <v/>
      </c>
      <c r="U486" s="249" t="str">
        <f t="shared" si="68"/>
        <v/>
      </c>
      <c r="V486" s="294" t="str">
        <f t="shared" si="64"/>
        <v/>
      </c>
      <c r="W486" s="294" t="str">
        <f>IF(((E486="")+(F486="")),"",IF(VLOOKUP(F486,Mannschaften!$A$1:$B$54,2,FALSE)&lt;&gt;E486,"Reiter Mannschaften füllen",""))</f>
        <v/>
      </c>
      <c r="X486" s="248" t="str">
        <f>IF(ISBLANK(C486),"",IF((U486&gt;(LOOKUP(E486,WKNrListe,Übersicht!$O$7:$O$46)))+(U486&lt;(LOOKUP(E486,WKNrListe,Übersicht!$P$7:$P$46))),"JG falsch",""))</f>
        <v/>
      </c>
      <c r="Y486" s="255" t="str">
        <f>IF((A486="")*(B486=""),"",IF(ISERROR(MATCH(E486,WKNrListe,0)),"WK falsch",LOOKUP(E486,WKNrListe,Übersicht!$B$7:$B$46)))</f>
        <v/>
      </c>
      <c r="Z486" s="269" t="str">
        <f>IF(((AJ486=0)*(AH486&lt;&gt;"")*(AK486="-"))+((AJ486&lt;&gt;0)*(AH486&lt;&gt;"")*(AK486="-")),IF(AG486="X",Übersicht!$C$70,Übersicht!$C$69),"-")</f>
        <v>-</v>
      </c>
      <c r="AA486" s="252" t="str">
        <f>IF((($A486="")*($B486=""))+((MID($Y486,1,4)&lt;&gt;"Wahl")*(Deckblatt!$C$14='WK-Vorlagen'!$C$82))+(Deckblatt!$C$14&lt;&gt;'WK-Vorlagen'!$C$82),"",IF(ISERROR(MATCH(VALUE(MID(G486,1,2)),Schwierigkeitsstufen!$G$7:$G$19,0)),"Gerät falsch",LOOKUP(VALUE(MID(G486,1,2)),Schwierigkeitsstufen!$G$7:$G$19,Schwierigkeitsstufen!$H$7:$H$19)))</f>
        <v/>
      </c>
      <c r="AB486" s="250" t="str">
        <f>IF((($A486="")*($B486=""))+((MID($Y486,1,4)&lt;&gt;"Wahl")*(Deckblatt!$C$14='WK-Vorlagen'!$C$82))+(Deckblatt!$C$14&lt;&gt;'WK-Vorlagen'!$C$82),"",IF(ISERROR(MATCH(VALUE(MID(H486,1,2)),Schwierigkeitsstufen!$G$7:$G$19,0)),"Gerät falsch",LOOKUP(VALUE(MID(H486,1,2)),Schwierigkeitsstufen!$G$7:$G$19,Schwierigkeitsstufen!$H$7:$H$19)))</f>
        <v/>
      </c>
      <c r="AC486" s="250" t="str">
        <f>IF((($A486="")*($B486=""))+((MID($Y486,1,4)&lt;&gt;"Wahl")*(Deckblatt!$C$14='WK-Vorlagen'!$C$82))+(Deckblatt!$C$14&lt;&gt;'WK-Vorlagen'!$C$82),"",IF(ISERROR(MATCH(VALUE(MID(I486,1,2)),Schwierigkeitsstufen!$G$7:$G$19,0)),"Gerät falsch",LOOKUP(VALUE(MID(I486,1,2)),Schwierigkeitsstufen!$G$7:$G$19,Schwierigkeitsstufen!$H$7:$H$19)))</f>
        <v/>
      </c>
      <c r="AD486" s="251" t="str">
        <f>IF((($A486="")*($B486=""))+((MID($Y486,1,4)&lt;&gt;"Wahl")*(Deckblatt!$C$14='WK-Vorlagen'!$C$82))+(Deckblatt!$C$14&lt;&gt;'WK-Vorlagen'!$C$82),"",IF(ISERROR(MATCH(VALUE(MID(J486,1,2)),Schwierigkeitsstufen!$G$7:$G$19,0)),"Gerät falsch",LOOKUP(VALUE(MID(J486,1,2)),Schwierigkeitsstufen!$G$7:$G$19,Schwierigkeitsstufen!$H$7:$H$19)))</f>
        <v/>
      </c>
      <c r="AE486" s="211"/>
      <c r="AG486" s="221" t="str">
        <f t="shared" si="63"/>
        <v/>
      </c>
      <c r="AH486" s="222" t="str">
        <f t="shared" si="65"/>
        <v/>
      </c>
      <c r="AI486" s="220">
        <f t="shared" si="70"/>
        <v>4</v>
      </c>
      <c r="AJ486" s="222">
        <f t="shared" si="66"/>
        <v>0</v>
      </c>
      <c r="AK486" s="299" t="str">
        <f>IF(ISERROR(LOOKUP(E486,WKNrListe,Übersicht!$R$7:$R$46)),"-",LOOKUP(E486,WKNrListe,Übersicht!$R$7:$R$46))</f>
        <v>-</v>
      </c>
      <c r="AL486" s="299" t="str">
        <f t="shared" si="69"/>
        <v>-</v>
      </c>
      <c r="AM486" s="303"/>
      <c r="AN486" s="174" t="str">
        <f t="shared" si="62"/>
        <v>Leer</v>
      </c>
    </row>
    <row r="487" spans="1:40" s="174" customFormat="1" ht="15" customHeight="1">
      <c r="A487" s="63"/>
      <c r="B487" s="63"/>
      <c r="C487" s="84"/>
      <c r="D487" s="85"/>
      <c r="E487" s="62"/>
      <c r="F487" s="62"/>
      <c r="G487" s="62"/>
      <c r="H487" s="62"/>
      <c r="I487" s="62"/>
      <c r="J487" s="62"/>
      <c r="K487" s="62"/>
      <c r="L487" s="62"/>
      <c r="M487" s="62"/>
      <c r="N487" s="62"/>
      <c r="O487" s="62"/>
      <c r="P487" s="62"/>
      <c r="Q487" s="62"/>
      <c r="R487" s="62"/>
      <c r="S487" s="258"/>
      <c r="T487" s="248" t="str">
        <f t="shared" si="67"/>
        <v/>
      </c>
      <c r="U487" s="249" t="str">
        <f t="shared" si="68"/>
        <v/>
      </c>
      <c r="V487" s="294" t="str">
        <f t="shared" si="64"/>
        <v/>
      </c>
      <c r="W487" s="294" t="str">
        <f>IF(((E487="")+(F487="")),"",IF(VLOOKUP(F487,Mannschaften!$A$1:$B$54,2,FALSE)&lt;&gt;E487,"Reiter Mannschaften füllen",""))</f>
        <v/>
      </c>
      <c r="X487" s="248" t="str">
        <f>IF(ISBLANK(C487),"",IF((U487&gt;(LOOKUP(E487,WKNrListe,Übersicht!$O$7:$O$46)))+(U487&lt;(LOOKUP(E487,WKNrListe,Übersicht!$P$7:$P$46))),"JG falsch",""))</f>
        <v/>
      </c>
      <c r="Y487" s="255" t="str">
        <f>IF((A487="")*(B487=""),"",IF(ISERROR(MATCH(E487,WKNrListe,0)),"WK falsch",LOOKUP(E487,WKNrListe,Übersicht!$B$7:$B$46)))</f>
        <v/>
      </c>
      <c r="Z487" s="269" t="str">
        <f>IF(((AJ487=0)*(AH487&lt;&gt;"")*(AK487="-"))+((AJ487&lt;&gt;0)*(AH487&lt;&gt;"")*(AK487="-")),IF(AG487="X",Übersicht!$C$70,Übersicht!$C$69),"-")</f>
        <v>-</v>
      </c>
      <c r="AA487" s="252" t="str">
        <f>IF((($A487="")*($B487=""))+((MID($Y487,1,4)&lt;&gt;"Wahl")*(Deckblatt!$C$14='WK-Vorlagen'!$C$82))+(Deckblatt!$C$14&lt;&gt;'WK-Vorlagen'!$C$82),"",IF(ISERROR(MATCH(VALUE(MID(G487,1,2)),Schwierigkeitsstufen!$G$7:$G$19,0)),"Gerät falsch",LOOKUP(VALUE(MID(G487,1,2)),Schwierigkeitsstufen!$G$7:$G$19,Schwierigkeitsstufen!$H$7:$H$19)))</f>
        <v/>
      </c>
      <c r="AB487" s="250" t="str">
        <f>IF((($A487="")*($B487=""))+((MID($Y487,1,4)&lt;&gt;"Wahl")*(Deckblatt!$C$14='WK-Vorlagen'!$C$82))+(Deckblatt!$C$14&lt;&gt;'WK-Vorlagen'!$C$82),"",IF(ISERROR(MATCH(VALUE(MID(H487,1,2)),Schwierigkeitsstufen!$G$7:$G$19,0)),"Gerät falsch",LOOKUP(VALUE(MID(H487,1,2)),Schwierigkeitsstufen!$G$7:$G$19,Schwierigkeitsstufen!$H$7:$H$19)))</f>
        <v/>
      </c>
      <c r="AC487" s="250" t="str">
        <f>IF((($A487="")*($B487=""))+((MID($Y487,1,4)&lt;&gt;"Wahl")*(Deckblatt!$C$14='WK-Vorlagen'!$C$82))+(Deckblatt!$C$14&lt;&gt;'WK-Vorlagen'!$C$82),"",IF(ISERROR(MATCH(VALUE(MID(I487,1,2)),Schwierigkeitsstufen!$G$7:$G$19,0)),"Gerät falsch",LOOKUP(VALUE(MID(I487,1,2)),Schwierigkeitsstufen!$G$7:$G$19,Schwierigkeitsstufen!$H$7:$H$19)))</f>
        <v/>
      </c>
      <c r="AD487" s="251" t="str">
        <f>IF((($A487="")*($B487=""))+((MID($Y487,1,4)&lt;&gt;"Wahl")*(Deckblatt!$C$14='WK-Vorlagen'!$C$82))+(Deckblatt!$C$14&lt;&gt;'WK-Vorlagen'!$C$82),"",IF(ISERROR(MATCH(VALUE(MID(J487,1,2)),Schwierigkeitsstufen!$G$7:$G$19,0)),"Gerät falsch",LOOKUP(VALUE(MID(J487,1,2)),Schwierigkeitsstufen!$G$7:$G$19,Schwierigkeitsstufen!$H$7:$H$19)))</f>
        <v/>
      </c>
      <c r="AE487" s="211"/>
      <c r="AG487" s="221" t="str">
        <f t="shared" si="63"/>
        <v/>
      </c>
      <c r="AH487" s="222" t="str">
        <f t="shared" si="65"/>
        <v/>
      </c>
      <c r="AI487" s="220">
        <f t="shared" si="70"/>
        <v>4</v>
      </c>
      <c r="AJ487" s="222">
        <f t="shared" si="66"/>
        <v>0</v>
      </c>
      <c r="AK487" s="299" t="str">
        <f>IF(ISERROR(LOOKUP(E487,WKNrListe,Übersicht!$R$7:$R$46)),"-",LOOKUP(E487,WKNrListe,Übersicht!$R$7:$R$46))</f>
        <v>-</v>
      </c>
      <c r="AL487" s="299" t="str">
        <f t="shared" si="69"/>
        <v>-</v>
      </c>
      <c r="AM487" s="303"/>
      <c r="AN487" s="174" t="str">
        <f t="shared" si="62"/>
        <v>Leer</v>
      </c>
    </row>
    <row r="488" spans="1:40" s="174" customFormat="1" ht="15" customHeight="1">
      <c r="A488" s="63"/>
      <c r="B488" s="63"/>
      <c r="C488" s="84"/>
      <c r="D488" s="85"/>
      <c r="E488" s="62"/>
      <c r="F488" s="62"/>
      <c r="G488" s="62"/>
      <c r="H488" s="62"/>
      <c r="I488" s="62"/>
      <c r="J488" s="62"/>
      <c r="K488" s="62"/>
      <c r="L488" s="62"/>
      <c r="M488" s="62"/>
      <c r="N488" s="62"/>
      <c r="O488" s="62"/>
      <c r="P488" s="62"/>
      <c r="Q488" s="62"/>
      <c r="R488" s="62"/>
      <c r="S488" s="258"/>
      <c r="T488" s="248" t="str">
        <f t="shared" si="67"/>
        <v/>
      </c>
      <c r="U488" s="249" t="str">
        <f t="shared" si="68"/>
        <v/>
      </c>
      <c r="V488" s="294" t="str">
        <f t="shared" si="64"/>
        <v/>
      </c>
      <c r="W488" s="294" t="str">
        <f>IF(((E488="")+(F488="")),"",IF(VLOOKUP(F488,Mannschaften!$A$1:$B$54,2,FALSE)&lt;&gt;E488,"Reiter Mannschaften füllen",""))</f>
        <v/>
      </c>
      <c r="X488" s="248" t="str">
        <f>IF(ISBLANK(C488),"",IF((U488&gt;(LOOKUP(E488,WKNrListe,Übersicht!$O$7:$O$46)))+(U488&lt;(LOOKUP(E488,WKNrListe,Übersicht!$P$7:$P$46))),"JG falsch",""))</f>
        <v/>
      </c>
      <c r="Y488" s="255" t="str">
        <f>IF((A488="")*(B488=""),"",IF(ISERROR(MATCH(E488,WKNrListe,0)),"WK falsch",LOOKUP(E488,WKNrListe,Übersicht!$B$7:$B$46)))</f>
        <v/>
      </c>
      <c r="Z488" s="269" t="str">
        <f>IF(((AJ488=0)*(AH488&lt;&gt;"")*(AK488="-"))+((AJ488&lt;&gt;0)*(AH488&lt;&gt;"")*(AK488="-")),IF(AG488="X",Übersicht!$C$70,Übersicht!$C$69),"-")</f>
        <v>-</v>
      </c>
      <c r="AA488" s="252" t="str">
        <f>IF((($A488="")*($B488=""))+((MID($Y488,1,4)&lt;&gt;"Wahl")*(Deckblatt!$C$14='WK-Vorlagen'!$C$82))+(Deckblatt!$C$14&lt;&gt;'WK-Vorlagen'!$C$82),"",IF(ISERROR(MATCH(VALUE(MID(G488,1,2)),Schwierigkeitsstufen!$G$7:$G$19,0)),"Gerät falsch",LOOKUP(VALUE(MID(G488,1,2)),Schwierigkeitsstufen!$G$7:$G$19,Schwierigkeitsstufen!$H$7:$H$19)))</f>
        <v/>
      </c>
      <c r="AB488" s="250" t="str">
        <f>IF((($A488="")*($B488=""))+((MID($Y488,1,4)&lt;&gt;"Wahl")*(Deckblatt!$C$14='WK-Vorlagen'!$C$82))+(Deckblatt!$C$14&lt;&gt;'WK-Vorlagen'!$C$82),"",IF(ISERROR(MATCH(VALUE(MID(H488,1,2)),Schwierigkeitsstufen!$G$7:$G$19,0)),"Gerät falsch",LOOKUP(VALUE(MID(H488,1,2)),Schwierigkeitsstufen!$G$7:$G$19,Schwierigkeitsstufen!$H$7:$H$19)))</f>
        <v/>
      </c>
      <c r="AC488" s="250" t="str">
        <f>IF((($A488="")*($B488=""))+((MID($Y488,1,4)&lt;&gt;"Wahl")*(Deckblatt!$C$14='WK-Vorlagen'!$C$82))+(Deckblatt!$C$14&lt;&gt;'WK-Vorlagen'!$C$82),"",IF(ISERROR(MATCH(VALUE(MID(I488,1,2)),Schwierigkeitsstufen!$G$7:$G$19,0)),"Gerät falsch",LOOKUP(VALUE(MID(I488,1,2)),Schwierigkeitsstufen!$G$7:$G$19,Schwierigkeitsstufen!$H$7:$H$19)))</f>
        <v/>
      </c>
      <c r="AD488" s="251" t="str">
        <f>IF((($A488="")*($B488=""))+((MID($Y488,1,4)&lt;&gt;"Wahl")*(Deckblatt!$C$14='WK-Vorlagen'!$C$82))+(Deckblatt!$C$14&lt;&gt;'WK-Vorlagen'!$C$82),"",IF(ISERROR(MATCH(VALUE(MID(J488,1,2)),Schwierigkeitsstufen!$G$7:$G$19,0)),"Gerät falsch",LOOKUP(VALUE(MID(J488,1,2)),Schwierigkeitsstufen!$G$7:$G$19,Schwierigkeitsstufen!$H$7:$H$19)))</f>
        <v/>
      </c>
      <c r="AE488" s="211"/>
      <c r="AG488" s="221" t="str">
        <f t="shared" si="63"/>
        <v/>
      </c>
      <c r="AH488" s="222" t="str">
        <f t="shared" si="65"/>
        <v/>
      </c>
      <c r="AI488" s="220">
        <f t="shared" si="70"/>
        <v>4</v>
      </c>
      <c r="AJ488" s="222">
        <f t="shared" si="66"/>
        <v>0</v>
      </c>
      <c r="AK488" s="299" t="str">
        <f>IF(ISERROR(LOOKUP(E488,WKNrListe,Übersicht!$R$7:$R$46)),"-",LOOKUP(E488,WKNrListe,Übersicht!$R$7:$R$46))</f>
        <v>-</v>
      </c>
      <c r="AL488" s="299" t="str">
        <f t="shared" si="69"/>
        <v>-</v>
      </c>
      <c r="AM488" s="303"/>
      <c r="AN488" s="174" t="str">
        <f t="shared" si="62"/>
        <v>Leer</v>
      </c>
    </row>
    <row r="489" spans="1:40" s="174" customFormat="1" ht="15" customHeight="1">
      <c r="A489" s="63"/>
      <c r="B489" s="63"/>
      <c r="C489" s="84"/>
      <c r="D489" s="85"/>
      <c r="E489" s="62"/>
      <c r="F489" s="62"/>
      <c r="G489" s="62"/>
      <c r="H489" s="62"/>
      <c r="I489" s="62"/>
      <c r="J489" s="62"/>
      <c r="K489" s="62"/>
      <c r="L489" s="62"/>
      <c r="M489" s="62"/>
      <c r="N489" s="62"/>
      <c r="O489" s="62"/>
      <c r="P489" s="62"/>
      <c r="Q489" s="62"/>
      <c r="R489" s="62"/>
      <c r="S489" s="258"/>
      <c r="T489" s="248" t="str">
        <f t="shared" si="67"/>
        <v/>
      </c>
      <c r="U489" s="249" t="str">
        <f t="shared" si="68"/>
        <v/>
      </c>
      <c r="V489" s="294" t="str">
        <f t="shared" si="64"/>
        <v/>
      </c>
      <c r="W489" s="294" t="str">
        <f>IF(((E489="")+(F489="")),"",IF(VLOOKUP(F489,Mannschaften!$A$1:$B$54,2,FALSE)&lt;&gt;E489,"Reiter Mannschaften füllen",""))</f>
        <v/>
      </c>
      <c r="X489" s="248" t="str">
        <f>IF(ISBLANK(C489),"",IF((U489&gt;(LOOKUP(E489,WKNrListe,Übersicht!$O$7:$O$46)))+(U489&lt;(LOOKUP(E489,WKNrListe,Übersicht!$P$7:$P$46))),"JG falsch",""))</f>
        <v/>
      </c>
      <c r="Y489" s="255" t="str">
        <f>IF((A489="")*(B489=""),"",IF(ISERROR(MATCH(E489,WKNrListe,0)),"WK falsch",LOOKUP(E489,WKNrListe,Übersicht!$B$7:$B$46)))</f>
        <v/>
      </c>
      <c r="Z489" s="269" t="str">
        <f>IF(((AJ489=0)*(AH489&lt;&gt;"")*(AK489="-"))+((AJ489&lt;&gt;0)*(AH489&lt;&gt;"")*(AK489="-")),IF(AG489="X",Übersicht!$C$70,Übersicht!$C$69),"-")</f>
        <v>-</v>
      </c>
      <c r="AA489" s="252" t="str">
        <f>IF((($A489="")*($B489=""))+((MID($Y489,1,4)&lt;&gt;"Wahl")*(Deckblatt!$C$14='WK-Vorlagen'!$C$82))+(Deckblatt!$C$14&lt;&gt;'WK-Vorlagen'!$C$82),"",IF(ISERROR(MATCH(VALUE(MID(G489,1,2)),Schwierigkeitsstufen!$G$7:$G$19,0)),"Gerät falsch",LOOKUP(VALUE(MID(G489,1,2)),Schwierigkeitsstufen!$G$7:$G$19,Schwierigkeitsstufen!$H$7:$H$19)))</f>
        <v/>
      </c>
      <c r="AB489" s="250" t="str">
        <f>IF((($A489="")*($B489=""))+((MID($Y489,1,4)&lt;&gt;"Wahl")*(Deckblatt!$C$14='WK-Vorlagen'!$C$82))+(Deckblatt!$C$14&lt;&gt;'WK-Vorlagen'!$C$82),"",IF(ISERROR(MATCH(VALUE(MID(H489,1,2)),Schwierigkeitsstufen!$G$7:$G$19,0)),"Gerät falsch",LOOKUP(VALUE(MID(H489,1,2)),Schwierigkeitsstufen!$G$7:$G$19,Schwierigkeitsstufen!$H$7:$H$19)))</f>
        <v/>
      </c>
      <c r="AC489" s="250" t="str">
        <f>IF((($A489="")*($B489=""))+((MID($Y489,1,4)&lt;&gt;"Wahl")*(Deckblatt!$C$14='WK-Vorlagen'!$C$82))+(Deckblatt!$C$14&lt;&gt;'WK-Vorlagen'!$C$82),"",IF(ISERROR(MATCH(VALUE(MID(I489,1,2)),Schwierigkeitsstufen!$G$7:$G$19,0)),"Gerät falsch",LOOKUP(VALUE(MID(I489,1,2)),Schwierigkeitsstufen!$G$7:$G$19,Schwierigkeitsstufen!$H$7:$H$19)))</f>
        <v/>
      </c>
      <c r="AD489" s="251" t="str">
        <f>IF((($A489="")*($B489=""))+((MID($Y489,1,4)&lt;&gt;"Wahl")*(Deckblatt!$C$14='WK-Vorlagen'!$C$82))+(Deckblatt!$C$14&lt;&gt;'WK-Vorlagen'!$C$82),"",IF(ISERROR(MATCH(VALUE(MID(J489,1,2)),Schwierigkeitsstufen!$G$7:$G$19,0)),"Gerät falsch",LOOKUP(VALUE(MID(J489,1,2)),Schwierigkeitsstufen!$G$7:$G$19,Schwierigkeitsstufen!$H$7:$H$19)))</f>
        <v/>
      </c>
      <c r="AE489" s="211"/>
      <c r="AG489" s="221" t="str">
        <f t="shared" si="63"/>
        <v/>
      </c>
      <c r="AH489" s="222" t="str">
        <f t="shared" si="65"/>
        <v/>
      </c>
      <c r="AI489" s="220">
        <f t="shared" si="70"/>
        <v>4</v>
      </c>
      <c r="AJ489" s="222">
        <f t="shared" si="66"/>
        <v>0</v>
      </c>
      <c r="AK489" s="299" t="str">
        <f>IF(ISERROR(LOOKUP(E489,WKNrListe,Übersicht!$R$7:$R$46)),"-",LOOKUP(E489,WKNrListe,Übersicht!$R$7:$R$46))</f>
        <v>-</v>
      </c>
      <c r="AL489" s="299" t="str">
        <f t="shared" si="69"/>
        <v>-</v>
      </c>
      <c r="AM489" s="303"/>
      <c r="AN489" s="174" t="str">
        <f t="shared" si="62"/>
        <v>Leer</v>
      </c>
    </row>
    <row r="490" spans="1:40" s="174" customFormat="1" ht="15" customHeight="1">
      <c r="A490" s="63"/>
      <c r="B490" s="63"/>
      <c r="C490" s="84"/>
      <c r="D490" s="85"/>
      <c r="E490" s="62"/>
      <c r="F490" s="62"/>
      <c r="G490" s="62"/>
      <c r="H490" s="62"/>
      <c r="I490" s="62"/>
      <c r="J490" s="62"/>
      <c r="K490" s="62"/>
      <c r="L490" s="62"/>
      <c r="M490" s="62"/>
      <c r="N490" s="62"/>
      <c r="O490" s="62"/>
      <c r="P490" s="62"/>
      <c r="Q490" s="62"/>
      <c r="R490" s="62"/>
      <c r="S490" s="258"/>
      <c r="T490" s="248" t="str">
        <f t="shared" si="67"/>
        <v/>
      </c>
      <c r="U490" s="249" t="str">
        <f t="shared" si="68"/>
        <v/>
      </c>
      <c r="V490" s="294" t="str">
        <f t="shared" si="64"/>
        <v/>
      </c>
      <c r="W490" s="294" t="str">
        <f>IF(((E490="")+(F490="")),"",IF(VLOOKUP(F490,Mannschaften!$A$1:$B$54,2,FALSE)&lt;&gt;E490,"Reiter Mannschaften füllen",""))</f>
        <v/>
      </c>
      <c r="X490" s="248" t="str">
        <f>IF(ISBLANK(C490),"",IF((U490&gt;(LOOKUP(E490,WKNrListe,Übersicht!$O$7:$O$46)))+(U490&lt;(LOOKUP(E490,WKNrListe,Übersicht!$P$7:$P$46))),"JG falsch",""))</f>
        <v/>
      </c>
      <c r="Y490" s="255" t="str">
        <f>IF((A490="")*(B490=""),"",IF(ISERROR(MATCH(E490,WKNrListe,0)),"WK falsch",LOOKUP(E490,WKNrListe,Übersicht!$B$7:$B$46)))</f>
        <v/>
      </c>
      <c r="Z490" s="269" t="str">
        <f>IF(((AJ490=0)*(AH490&lt;&gt;"")*(AK490="-"))+((AJ490&lt;&gt;0)*(AH490&lt;&gt;"")*(AK490="-")),IF(AG490="X",Übersicht!$C$70,Übersicht!$C$69),"-")</f>
        <v>-</v>
      </c>
      <c r="AA490" s="252" t="str">
        <f>IF((($A490="")*($B490=""))+((MID($Y490,1,4)&lt;&gt;"Wahl")*(Deckblatt!$C$14='WK-Vorlagen'!$C$82))+(Deckblatt!$C$14&lt;&gt;'WK-Vorlagen'!$C$82),"",IF(ISERROR(MATCH(VALUE(MID(G490,1,2)),Schwierigkeitsstufen!$G$7:$G$19,0)),"Gerät falsch",LOOKUP(VALUE(MID(G490,1,2)),Schwierigkeitsstufen!$G$7:$G$19,Schwierigkeitsstufen!$H$7:$H$19)))</f>
        <v/>
      </c>
      <c r="AB490" s="250" t="str">
        <f>IF((($A490="")*($B490=""))+((MID($Y490,1,4)&lt;&gt;"Wahl")*(Deckblatt!$C$14='WK-Vorlagen'!$C$82))+(Deckblatt!$C$14&lt;&gt;'WK-Vorlagen'!$C$82),"",IF(ISERROR(MATCH(VALUE(MID(H490,1,2)),Schwierigkeitsstufen!$G$7:$G$19,0)),"Gerät falsch",LOOKUP(VALUE(MID(H490,1,2)),Schwierigkeitsstufen!$G$7:$G$19,Schwierigkeitsstufen!$H$7:$H$19)))</f>
        <v/>
      </c>
      <c r="AC490" s="250" t="str">
        <f>IF((($A490="")*($B490=""))+((MID($Y490,1,4)&lt;&gt;"Wahl")*(Deckblatt!$C$14='WK-Vorlagen'!$C$82))+(Deckblatt!$C$14&lt;&gt;'WK-Vorlagen'!$C$82),"",IF(ISERROR(MATCH(VALUE(MID(I490,1,2)),Schwierigkeitsstufen!$G$7:$G$19,0)),"Gerät falsch",LOOKUP(VALUE(MID(I490,1,2)),Schwierigkeitsstufen!$G$7:$G$19,Schwierigkeitsstufen!$H$7:$H$19)))</f>
        <v/>
      </c>
      <c r="AD490" s="251" t="str">
        <f>IF((($A490="")*($B490=""))+((MID($Y490,1,4)&lt;&gt;"Wahl")*(Deckblatt!$C$14='WK-Vorlagen'!$C$82))+(Deckblatt!$C$14&lt;&gt;'WK-Vorlagen'!$C$82),"",IF(ISERROR(MATCH(VALUE(MID(J490,1,2)),Schwierigkeitsstufen!$G$7:$G$19,0)),"Gerät falsch",LOOKUP(VALUE(MID(J490,1,2)),Schwierigkeitsstufen!$G$7:$G$19,Schwierigkeitsstufen!$H$7:$H$19)))</f>
        <v/>
      </c>
      <c r="AE490" s="211"/>
      <c r="AG490" s="221" t="str">
        <f t="shared" si="63"/>
        <v/>
      </c>
      <c r="AH490" s="222" t="str">
        <f t="shared" si="65"/>
        <v/>
      </c>
      <c r="AI490" s="220">
        <f t="shared" si="70"/>
        <v>4</v>
      </c>
      <c r="AJ490" s="222">
        <f t="shared" si="66"/>
        <v>0</v>
      </c>
      <c r="AK490" s="299" t="str">
        <f>IF(ISERROR(LOOKUP(E490,WKNrListe,Übersicht!$R$7:$R$46)),"-",LOOKUP(E490,WKNrListe,Übersicht!$R$7:$R$46))</f>
        <v>-</v>
      </c>
      <c r="AL490" s="299" t="str">
        <f t="shared" si="69"/>
        <v>-</v>
      </c>
      <c r="AM490" s="303"/>
      <c r="AN490" s="174" t="str">
        <f t="shared" si="62"/>
        <v>Leer</v>
      </c>
    </row>
    <row r="491" spans="1:40" s="174" customFormat="1" ht="15" customHeight="1">
      <c r="A491" s="63"/>
      <c r="B491" s="63"/>
      <c r="C491" s="84"/>
      <c r="D491" s="85"/>
      <c r="E491" s="62"/>
      <c r="F491" s="62"/>
      <c r="G491" s="62"/>
      <c r="H491" s="62"/>
      <c r="I491" s="62"/>
      <c r="J491" s="62"/>
      <c r="K491" s="62"/>
      <c r="L491" s="62"/>
      <c r="M491" s="62"/>
      <c r="N491" s="62"/>
      <c r="O491" s="62"/>
      <c r="P491" s="62"/>
      <c r="Q491" s="62"/>
      <c r="R491" s="62"/>
      <c r="S491" s="258"/>
      <c r="T491" s="248" t="str">
        <f t="shared" si="67"/>
        <v/>
      </c>
      <c r="U491" s="249" t="str">
        <f t="shared" si="68"/>
        <v/>
      </c>
      <c r="V491" s="294" t="str">
        <f t="shared" si="64"/>
        <v/>
      </c>
      <c r="W491" s="294" t="str">
        <f>IF(((E491="")+(F491="")),"",IF(VLOOKUP(F491,Mannschaften!$A$1:$B$54,2,FALSE)&lt;&gt;E491,"Reiter Mannschaften füllen",""))</f>
        <v/>
      </c>
      <c r="X491" s="248" t="str">
        <f>IF(ISBLANK(C491),"",IF((U491&gt;(LOOKUP(E491,WKNrListe,Übersicht!$O$7:$O$46)))+(U491&lt;(LOOKUP(E491,WKNrListe,Übersicht!$P$7:$P$46))),"JG falsch",""))</f>
        <v/>
      </c>
      <c r="Y491" s="255" t="str">
        <f>IF((A491="")*(B491=""),"",IF(ISERROR(MATCH(E491,WKNrListe,0)),"WK falsch",LOOKUP(E491,WKNrListe,Übersicht!$B$7:$B$46)))</f>
        <v/>
      </c>
      <c r="Z491" s="269" t="str">
        <f>IF(((AJ491=0)*(AH491&lt;&gt;"")*(AK491="-"))+((AJ491&lt;&gt;0)*(AH491&lt;&gt;"")*(AK491="-")),IF(AG491="X",Übersicht!$C$70,Übersicht!$C$69),"-")</f>
        <v>-</v>
      </c>
      <c r="AA491" s="252" t="str">
        <f>IF((($A491="")*($B491=""))+((MID($Y491,1,4)&lt;&gt;"Wahl")*(Deckblatt!$C$14='WK-Vorlagen'!$C$82))+(Deckblatt!$C$14&lt;&gt;'WK-Vorlagen'!$C$82),"",IF(ISERROR(MATCH(VALUE(MID(G491,1,2)),Schwierigkeitsstufen!$G$7:$G$19,0)),"Gerät falsch",LOOKUP(VALUE(MID(G491,1,2)),Schwierigkeitsstufen!$G$7:$G$19,Schwierigkeitsstufen!$H$7:$H$19)))</f>
        <v/>
      </c>
      <c r="AB491" s="250" t="str">
        <f>IF((($A491="")*($B491=""))+((MID($Y491,1,4)&lt;&gt;"Wahl")*(Deckblatt!$C$14='WK-Vorlagen'!$C$82))+(Deckblatt!$C$14&lt;&gt;'WK-Vorlagen'!$C$82),"",IF(ISERROR(MATCH(VALUE(MID(H491,1,2)),Schwierigkeitsstufen!$G$7:$G$19,0)),"Gerät falsch",LOOKUP(VALUE(MID(H491,1,2)),Schwierigkeitsstufen!$G$7:$G$19,Schwierigkeitsstufen!$H$7:$H$19)))</f>
        <v/>
      </c>
      <c r="AC491" s="250" t="str">
        <f>IF((($A491="")*($B491=""))+((MID($Y491,1,4)&lt;&gt;"Wahl")*(Deckblatt!$C$14='WK-Vorlagen'!$C$82))+(Deckblatt!$C$14&lt;&gt;'WK-Vorlagen'!$C$82),"",IF(ISERROR(MATCH(VALUE(MID(I491,1,2)),Schwierigkeitsstufen!$G$7:$G$19,0)),"Gerät falsch",LOOKUP(VALUE(MID(I491,1,2)),Schwierigkeitsstufen!$G$7:$G$19,Schwierigkeitsstufen!$H$7:$H$19)))</f>
        <v/>
      </c>
      <c r="AD491" s="251" t="str">
        <f>IF((($A491="")*($B491=""))+((MID($Y491,1,4)&lt;&gt;"Wahl")*(Deckblatt!$C$14='WK-Vorlagen'!$C$82))+(Deckblatt!$C$14&lt;&gt;'WK-Vorlagen'!$C$82),"",IF(ISERROR(MATCH(VALUE(MID(J491,1,2)),Schwierigkeitsstufen!$G$7:$G$19,0)),"Gerät falsch",LOOKUP(VALUE(MID(J491,1,2)),Schwierigkeitsstufen!$G$7:$G$19,Schwierigkeitsstufen!$H$7:$H$19)))</f>
        <v/>
      </c>
      <c r="AE491" s="211"/>
      <c r="AG491" s="221" t="str">
        <f t="shared" si="63"/>
        <v/>
      </c>
      <c r="AH491" s="222" t="str">
        <f t="shared" si="65"/>
        <v/>
      </c>
      <c r="AI491" s="220">
        <f t="shared" si="70"/>
        <v>4</v>
      </c>
      <c r="AJ491" s="222">
        <f t="shared" si="66"/>
        <v>0</v>
      </c>
      <c r="AK491" s="299" t="str">
        <f>IF(ISERROR(LOOKUP(E491,WKNrListe,Übersicht!$R$7:$R$46)),"-",LOOKUP(E491,WKNrListe,Übersicht!$R$7:$R$46))</f>
        <v>-</v>
      </c>
      <c r="AL491" s="299" t="str">
        <f t="shared" si="69"/>
        <v>-</v>
      </c>
      <c r="AM491" s="303"/>
      <c r="AN491" s="174" t="str">
        <f t="shared" si="62"/>
        <v>Leer</v>
      </c>
    </row>
    <row r="492" spans="1:40" s="174" customFormat="1" ht="15" customHeight="1">
      <c r="A492" s="63"/>
      <c r="B492" s="63"/>
      <c r="C492" s="84"/>
      <c r="D492" s="85"/>
      <c r="E492" s="62"/>
      <c r="F492" s="62"/>
      <c r="G492" s="62"/>
      <c r="H492" s="62"/>
      <c r="I492" s="62"/>
      <c r="J492" s="62"/>
      <c r="K492" s="62"/>
      <c r="L492" s="62"/>
      <c r="M492" s="62"/>
      <c r="N492" s="62"/>
      <c r="O492" s="62"/>
      <c r="P492" s="62"/>
      <c r="Q492" s="62"/>
      <c r="R492" s="62"/>
      <c r="S492" s="258"/>
      <c r="T492" s="248" t="str">
        <f t="shared" si="67"/>
        <v/>
      </c>
      <c r="U492" s="249" t="str">
        <f t="shared" si="68"/>
        <v/>
      </c>
      <c r="V492" s="294" t="str">
        <f t="shared" si="64"/>
        <v/>
      </c>
      <c r="W492" s="294" t="str">
        <f>IF(((E492="")+(F492="")),"",IF(VLOOKUP(F492,Mannschaften!$A$1:$B$54,2,FALSE)&lt;&gt;E492,"Reiter Mannschaften füllen",""))</f>
        <v/>
      </c>
      <c r="X492" s="248" t="str">
        <f>IF(ISBLANK(C492),"",IF((U492&gt;(LOOKUP(E492,WKNrListe,Übersicht!$O$7:$O$46)))+(U492&lt;(LOOKUP(E492,WKNrListe,Übersicht!$P$7:$P$46))),"JG falsch",""))</f>
        <v/>
      </c>
      <c r="Y492" s="255" t="str">
        <f>IF((A492="")*(B492=""),"",IF(ISERROR(MATCH(E492,WKNrListe,0)),"WK falsch",LOOKUP(E492,WKNrListe,Übersicht!$B$7:$B$46)))</f>
        <v/>
      </c>
      <c r="Z492" s="269" t="str">
        <f>IF(((AJ492=0)*(AH492&lt;&gt;"")*(AK492="-"))+((AJ492&lt;&gt;0)*(AH492&lt;&gt;"")*(AK492="-")),IF(AG492="X",Übersicht!$C$70,Übersicht!$C$69),"-")</f>
        <v>-</v>
      </c>
      <c r="AA492" s="252" t="str">
        <f>IF((($A492="")*($B492=""))+((MID($Y492,1,4)&lt;&gt;"Wahl")*(Deckblatt!$C$14='WK-Vorlagen'!$C$82))+(Deckblatt!$C$14&lt;&gt;'WK-Vorlagen'!$C$82),"",IF(ISERROR(MATCH(VALUE(MID(G492,1,2)),Schwierigkeitsstufen!$G$7:$G$19,0)),"Gerät falsch",LOOKUP(VALUE(MID(G492,1,2)),Schwierigkeitsstufen!$G$7:$G$19,Schwierigkeitsstufen!$H$7:$H$19)))</f>
        <v/>
      </c>
      <c r="AB492" s="250" t="str">
        <f>IF((($A492="")*($B492=""))+((MID($Y492,1,4)&lt;&gt;"Wahl")*(Deckblatt!$C$14='WK-Vorlagen'!$C$82))+(Deckblatt!$C$14&lt;&gt;'WK-Vorlagen'!$C$82),"",IF(ISERROR(MATCH(VALUE(MID(H492,1,2)),Schwierigkeitsstufen!$G$7:$G$19,0)),"Gerät falsch",LOOKUP(VALUE(MID(H492,1,2)),Schwierigkeitsstufen!$G$7:$G$19,Schwierigkeitsstufen!$H$7:$H$19)))</f>
        <v/>
      </c>
      <c r="AC492" s="250" t="str">
        <f>IF((($A492="")*($B492=""))+((MID($Y492,1,4)&lt;&gt;"Wahl")*(Deckblatt!$C$14='WK-Vorlagen'!$C$82))+(Deckblatt!$C$14&lt;&gt;'WK-Vorlagen'!$C$82),"",IF(ISERROR(MATCH(VALUE(MID(I492,1,2)),Schwierigkeitsstufen!$G$7:$G$19,0)),"Gerät falsch",LOOKUP(VALUE(MID(I492,1,2)),Schwierigkeitsstufen!$G$7:$G$19,Schwierigkeitsstufen!$H$7:$H$19)))</f>
        <v/>
      </c>
      <c r="AD492" s="251" t="str">
        <f>IF((($A492="")*($B492=""))+((MID($Y492,1,4)&lt;&gt;"Wahl")*(Deckblatt!$C$14='WK-Vorlagen'!$C$82))+(Deckblatt!$C$14&lt;&gt;'WK-Vorlagen'!$C$82),"",IF(ISERROR(MATCH(VALUE(MID(J492,1,2)),Schwierigkeitsstufen!$G$7:$G$19,0)),"Gerät falsch",LOOKUP(VALUE(MID(J492,1,2)),Schwierigkeitsstufen!$G$7:$G$19,Schwierigkeitsstufen!$H$7:$H$19)))</f>
        <v/>
      </c>
      <c r="AE492" s="211"/>
      <c r="AG492" s="221" t="str">
        <f t="shared" si="63"/>
        <v/>
      </c>
      <c r="AH492" s="222" t="str">
        <f t="shared" si="65"/>
        <v/>
      </c>
      <c r="AI492" s="220">
        <f t="shared" si="70"/>
        <v>4</v>
      </c>
      <c r="AJ492" s="222">
        <f t="shared" si="66"/>
        <v>0</v>
      </c>
      <c r="AK492" s="299" t="str">
        <f>IF(ISERROR(LOOKUP(E492,WKNrListe,Übersicht!$R$7:$R$46)),"-",LOOKUP(E492,WKNrListe,Übersicht!$R$7:$R$46))</f>
        <v>-</v>
      </c>
      <c r="AL492" s="299" t="str">
        <f t="shared" si="69"/>
        <v>-</v>
      </c>
      <c r="AM492" s="303"/>
      <c r="AN492" s="174" t="str">
        <f t="shared" si="62"/>
        <v>Leer</v>
      </c>
    </row>
    <row r="493" spans="1:40" s="174" customFormat="1" ht="15" customHeight="1">
      <c r="A493" s="63"/>
      <c r="B493" s="63"/>
      <c r="C493" s="84"/>
      <c r="D493" s="85"/>
      <c r="E493" s="62"/>
      <c r="F493" s="62"/>
      <c r="G493" s="62"/>
      <c r="H493" s="62"/>
      <c r="I493" s="62"/>
      <c r="J493" s="62"/>
      <c r="K493" s="62"/>
      <c r="L493" s="62"/>
      <c r="M493" s="62"/>
      <c r="N493" s="62"/>
      <c r="O493" s="62"/>
      <c r="P493" s="62"/>
      <c r="Q493" s="62"/>
      <c r="R493" s="62"/>
      <c r="S493" s="258"/>
      <c r="T493" s="248" t="str">
        <f t="shared" si="67"/>
        <v/>
      </c>
      <c r="U493" s="249" t="str">
        <f t="shared" si="68"/>
        <v/>
      </c>
      <c r="V493" s="294" t="str">
        <f t="shared" si="64"/>
        <v/>
      </c>
      <c r="W493" s="294" t="str">
        <f>IF(((E493="")+(F493="")),"",IF(VLOOKUP(F493,Mannschaften!$A$1:$B$54,2,FALSE)&lt;&gt;E493,"Reiter Mannschaften füllen",""))</f>
        <v/>
      </c>
      <c r="X493" s="248" t="str">
        <f>IF(ISBLANK(C493),"",IF((U493&gt;(LOOKUP(E493,WKNrListe,Übersicht!$O$7:$O$46)))+(U493&lt;(LOOKUP(E493,WKNrListe,Übersicht!$P$7:$P$46))),"JG falsch",""))</f>
        <v/>
      </c>
      <c r="Y493" s="255" t="str">
        <f>IF((A493="")*(B493=""),"",IF(ISERROR(MATCH(E493,WKNrListe,0)),"WK falsch",LOOKUP(E493,WKNrListe,Übersicht!$B$7:$B$46)))</f>
        <v/>
      </c>
      <c r="Z493" s="269" t="str">
        <f>IF(((AJ493=0)*(AH493&lt;&gt;"")*(AK493="-"))+((AJ493&lt;&gt;0)*(AH493&lt;&gt;"")*(AK493="-")),IF(AG493="X",Übersicht!$C$70,Übersicht!$C$69),"-")</f>
        <v>-</v>
      </c>
      <c r="AA493" s="252" t="str">
        <f>IF((($A493="")*($B493=""))+((MID($Y493,1,4)&lt;&gt;"Wahl")*(Deckblatt!$C$14='WK-Vorlagen'!$C$82))+(Deckblatt!$C$14&lt;&gt;'WK-Vorlagen'!$C$82),"",IF(ISERROR(MATCH(VALUE(MID(G493,1,2)),Schwierigkeitsstufen!$G$7:$G$19,0)),"Gerät falsch",LOOKUP(VALUE(MID(G493,1,2)),Schwierigkeitsstufen!$G$7:$G$19,Schwierigkeitsstufen!$H$7:$H$19)))</f>
        <v/>
      </c>
      <c r="AB493" s="250" t="str">
        <f>IF((($A493="")*($B493=""))+((MID($Y493,1,4)&lt;&gt;"Wahl")*(Deckblatt!$C$14='WK-Vorlagen'!$C$82))+(Deckblatt!$C$14&lt;&gt;'WK-Vorlagen'!$C$82),"",IF(ISERROR(MATCH(VALUE(MID(H493,1,2)),Schwierigkeitsstufen!$G$7:$G$19,0)),"Gerät falsch",LOOKUP(VALUE(MID(H493,1,2)),Schwierigkeitsstufen!$G$7:$G$19,Schwierigkeitsstufen!$H$7:$H$19)))</f>
        <v/>
      </c>
      <c r="AC493" s="250" t="str">
        <f>IF((($A493="")*($B493=""))+((MID($Y493,1,4)&lt;&gt;"Wahl")*(Deckblatt!$C$14='WK-Vorlagen'!$C$82))+(Deckblatt!$C$14&lt;&gt;'WK-Vorlagen'!$C$82),"",IF(ISERROR(MATCH(VALUE(MID(I493,1,2)),Schwierigkeitsstufen!$G$7:$G$19,0)),"Gerät falsch",LOOKUP(VALUE(MID(I493,1,2)),Schwierigkeitsstufen!$G$7:$G$19,Schwierigkeitsstufen!$H$7:$H$19)))</f>
        <v/>
      </c>
      <c r="AD493" s="251" t="str">
        <f>IF((($A493="")*($B493=""))+((MID($Y493,1,4)&lt;&gt;"Wahl")*(Deckblatt!$C$14='WK-Vorlagen'!$C$82))+(Deckblatt!$C$14&lt;&gt;'WK-Vorlagen'!$C$82),"",IF(ISERROR(MATCH(VALUE(MID(J493,1,2)),Schwierigkeitsstufen!$G$7:$G$19,0)),"Gerät falsch",LOOKUP(VALUE(MID(J493,1,2)),Schwierigkeitsstufen!$G$7:$G$19,Schwierigkeitsstufen!$H$7:$H$19)))</f>
        <v/>
      </c>
      <c r="AE493" s="211"/>
      <c r="AG493" s="221" t="str">
        <f t="shared" si="63"/>
        <v/>
      </c>
      <c r="AH493" s="222" t="str">
        <f t="shared" si="65"/>
        <v/>
      </c>
      <c r="AI493" s="220">
        <f t="shared" si="70"/>
        <v>4</v>
      </c>
      <c r="AJ493" s="222">
        <f t="shared" si="66"/>
        <v>0</v>
      </c>
      <c r="AK493" s="299" t="str">
        <f>IF(ISERROR(LOOKUP(E493,WKNrListe,Übersicht!$R$7:$R$46)),"-",LOOKUP(E493,WKNrListe,Übersicht!$R$7:$R$46))</f>
        <v>-</v>
      </c>
      <c r="AL493" s="299" t="str">
        <f t="shared" si="69"/>
        <v>-</v>
      </c>
      <c r="AM493" s="303"/>
      <c r="AN493" s="174" t="str">
        <f t="shared" si="62"/>
        <v>Leer</v>
      </c>
    </row>
    <row r="494" spans="1:40" s="174" customFormat="1" ht="15" customHeight="1">
      <c r="A494" s="63"/>
      <c r="B494" s="63"/>
      <c r="C494" s="84"/>
      <c r="D494" s="85"/>
      <c r="E494" s="62"/>
      <c r="F494" s="62"/>
      <c r="G494" s="62"/>
      <c r="H494" s="62"/>
      <c r="I494" s="62"/>
      <c r="J494" s="62"/>
      <c r="K494" s="62"/>
      <c r="L494" s="62"/>
      <c r="M494" s="62"/>
      <c r="N494" s="62"/>
      <c r="O494" s="62"/>
      <c r="P494" s="62"/>
      <c r="Q494" s="62"/>
      <c r="R494" s="62"/>
      <c r="S494" s="258"/>
      <c r="T494" s="248" t="str">
        <f t="shared" si="67"/>
        <v/>
      </c>
      <c r="U494" s="249" t="str">
        <f t="shared" si="68"/>
        <v/>
      </c>
      <c r="V494" s="294" t="str">
        <f t="shared" si="64"/>
        <v/>
      </c>
      <c r="W494" s="294" t="str">
        <f>IF(((E494="")+(F494="")),"",IF(VLOOKUP(F494,Mannschaften!$A$1:$B$54,2,FALSE)&lt;&gt;E494,"Reiter Mannschaften füllen",""))</f>
        <v/>
      </c>
      <c r="X494" s="248" t="str">
        <f>IF(ISBLANK(C494),"",IF((U494&gt;(LOOKUP(E494,WKNrListe,Übersicht!$O$7:$O$46)))+(U494&lt;(LOOKUP(E494,WKNrListe,Übersicht!$P$7:$P$46))),"JG falsch",""))</f>
        <v/>
      </c>
      <c r="Y494" s="255" t="str">
        <f>IF((A494="")*(B494=""),"",IF(ISERROR(MATCH(E494,WKNrListe,0)),"WK falsch",LOOKUP(E494,WKNrListe,Übersicht!$B$7:$B$46)))</f>
        <v/>
      </c>
      <c r="Z494" s="269" t="str">
        <f>IF(((AJ494=0)*(AH494&lt;&gt;"")*(AK494="-"))+((AJ494&lt;&gt;0)*(AH494&lt;&gt;"")*(AK494="-")),IF(AG494="X",Übersicht!$C$70,Übersicht!$C$69),"-")</f>
        <v>-</v>
      </c>
      <c r="AA494" s="252" t="str">
        <f>IF((($A494="")*($B494=""))+((MID($Y494,1,4)&lt;&gt;"Wahl")*(Deckblatt!$C$14='WK-Vorlagen'!$C$82))+(Deckblatt!$C$14&lt;&gt;'WK-Vorlagen'!$C$82),"",IF(ISERROR(MATCH(VALUE(MID(G494,1,2)),Schwierigkeitsstufen!$G$7:$G$19,0)),"Gerät falsch",LOOKUP(VALUE(MID(G494,1,2)),Schwierigkeitsstufen!$G$7:$G$19,Schwierigkeitsstufen!$H$7:$H$19)))</f>
        <v/>
      </c>
      <c r="AB494" s="250" t="str">
        <f>IF((($A494="")*($B494=""))+((MID($Y494,1,4)&lt;&gt;"Wahl")*(Deckblatt!$C$14='WK-Vorlagen'!$C$82))+(Deckblatt!$C$14&lt;&gt;'WK-Vorlagen'!$C$82),"",IF(ISERROR(MATCH(VALUE(MID(H494,1,2)),Schwierigkeitsstufen!$G$7:$G$19,0)),"Gerät falsch",LOOKUP(VALUE(MID(H494,1,2)),Schwierigkeitsstufen!$G$7:$G$19,Schwierigkeitsstufen!$H$7:$H$19)))</f>
        <v/>
      </c>
      <c r="AC494" s="250" t="str">
        <f>IF((($A494="")*($B494=""))+((MID($Y494,1,4)&lt;&gt;"Wahl")*(Deckblatt!$C$14='WK-Vorlagen'!$C$82))+(Deckblatt!$C$14&lt;&gt;'WK-Vorlagen'!$C$82),"",IF(ISERROR(MATCH(VALUE(MID(I494,1,2)),Schwierigkeitsstufen!$G$7:$G$19,0)),"Gerät falsch",LOOKUP(VALUE(MID(I494,1,2)),Schwierigkeitsstufen!$G$7:$G$19,Schwierigkeitsstufen!$H$7:$H$19)))</f>
        <v/>
      </c>
      <c r="AD494" s="251" t="str">
        <f>IF((($A494="")*($B494=""))+((MID($Y494,1,4)&lt;&gt;"Wahl")*(Deckblatt!$C$14='WK-Vorlagen'!$C$82))+(Deckblatt!$C$14&lt;&gt;'WK-Vorlagen'!$C$82),"",IF(ISERROR(MATCH(VALUE(MID(J494,1,2)),Schwierigkeitsstufen!$G$7:$G$19,0)),"Gerät falsch",LOOKUP(VALUE(MID(J494,1,2)),Schwierigkeitsstufen!$G$7:$G$19,Schwierigkeitsstufen!$H$7:$H$19)))</f>
        <v/>
      </c>
      <c r="AE494" s="211"/>
      <c r="AG494" s="221" t="str">
        <f t="shared" si="63"/>
        <v/>
      </c>
      <c r="AH494" s="222" t="str">
        <f t="shared" si="65"/>
        <v/>
      </c>
      <c r="AI494" s="220">
        <f t="shared" si="70"/>
        <v>4</v>
      </c>
      <c r="AJ494" s="222">
        <f t="shared" si="66"/>
        <v>0</v>
      </c>
      <c r="AK494" s="299" t="str">
        <f>IF(ISERROR(LOOKUP(E494,WKNrListe,Übersicht!$R$7:$R$46)),"-",LOOKUP(E494,WKNrListe,Übersicht!$R$7:$R$46))</f>
        <v>-</v>
      </c>
      <c r="AL494" s="299" t="str">
        <f t="shared" si="69"/>
        <v>-</v>
      </c>
      <c r="AM494" s="303"/>
      <c r="AN494" s="174" t="str">
        <f t="shared" si="62"/>
        <v>Leer</v>
      </c>
    </row>
    <row r="495" spans="1:40" s="174" customFormat="1" ht="15" customHeight="1">
      <c r="A495" s="63"/>
      <c r="B495" s="63"/>
      <c r="C495" s="84"/>
      <c r="D495" s="85"/>
      <c r="E495" s="62"/>
      <c r="F495" s="62"/>
      <c r="G495" s="62"/>
      <c r="H495" s="62"/>
      <c r="I495" s="62"/>
      <c r="J495" s="62"/>
      <c r="K495" s="62"/>
      <c r="L495" s="62"/>
      <c r="M495" s="62"/>
      <c r="N495" s="62"/>
      <c r="O495" s="62"/>
      <c r="P495" s="62"/>
      <c r="Q495" s="62"/>
      <c r="R495" s="62"/>
      <c r="S495" s="258"/>
      <c r="T495" s="248" t="str">
        <f t="shared" si="67"/>
        <v/>
      </c>
      <c r="U495" s="249" t="str">
        <f t="shared" si="68"/>
        <v/>
      </c>
      <c r="V495" s="294" t="str">
        <f t="shared" si="64"/>
        <v/>
      </c>
      <c r="W495" s="294" t="str">
        <f>IF(((E495="")+(F495="")),"",IF(VLOOKUP(F495,Mannschaften!$A$1:$B$54,2,FALSE)&lt;&gt;E495,"Reiter Mannschaften füllen",""))</f>
        <v/>
      </c>
      <c r="X495" s="248" t="str">
        <f>IF(ISBLANK(C495),"",IF((U495&gt;(LOOKUP(E495,WKNrListe,Übersicht!$O$7:$O$46)))+(U495&lt;(LOOKUP(E495,WKNrListe,Übersicht!$P$7:$P$46))),"JG falsch",""))</f>
        <v/>
      </c>
      <c r="Y495" s="255" t="str">
        <f>IF((A495="")*(B495=""),"",IF(ISERROR(MATCH(E495,WKNrListe,0)),"WK falsch",LOOKUP(E495,WKNrListe,Übersicht!$B$7:$B$46)))</f>
        <v/>
      </c>
      <c r="Z495" s="269" t="str">
        <f>IF(((AJ495=0)*(AH495&lt;&gt;"")*(AK495="-"))+((AJ495&lt;&gt;0)*(AH495&lt;&gt;"")*(AK495="-")),IF(AG495="X",Übersicht!$C$70,Übersicht!$C$69),"-")</f>
        <v>-</v>
      </c>
      <c r="AA495" s="252" t="str">
        <f>IF((($A495="")*($B495=""))+((MID($Y495,1,4)&lt;&gt;"Wahl")*(Deckblatt!$C$14='WK-Vorlagen'!$C$82))+(Deckblatt!$C$14&lt;&gt;'WK-Vorlagen'!$C$82),"",IF(ISERROR(MATCH(VALUE(MID(G495,1,2)),Schwierigkeitsstufen!$G$7:$G$19,0)),"Gerät falsch",LOOKUP(VALUE(MID(G495,1,2)),Schwierigkeitsstufen!$G$7:$G$19,Schwierigkeitsstufen!$H$7:$H$19)))</f>
        <v/>
      </c>
      <c r="AB495" s="250" t="str">
        <f>IF((($A495="")*($B495=""))+((MID($Y495,1,4)&lt;&gt;"Wahl")*(Deckblatt!$C$14='WK-Vorlagen'!$C$82))+(Deckblatt!$C$14&lt;&gt;'WK-Vorlagen'!$C$82),"",IF(ISERROR(MATCH(VALUE(MID(H495,1,2)),Schwierigkeitsstufen!$G$7:$G$19,0)),"Gerät falsch",LOOKUP(VALUE(MID(H495,1,2)),Schwierigkeitsstufen!$G$7:$G$19,Schwierigkeitsstufen!$H$7:$H$19)))</f>
        <v/>
      </c>
      <c r="AC495" s="250" t="str">
        <f>IF((($A495="")*($B495=""))+((MID($Y495,1,4)&lt;&gt;"Wahl")*(Deckblatt!$C$14='WK-Vorlagen'!$C$82))+(Deckblatt!$C$14&lt;&gt;'WK-Vorlagen'!$C$82),"",IF(ISERROR(MATCH(VALUE(MID(I495,1,2)),Schwierigkeitsstufen!$G$7:$G$19,0)),"Gerät falsch",LOOKUP(VALUE(MID(I495,1,2)),Schwierigkeitsstufen!$G$7:$G$19,Schwierigkeitsstufen!$H$7:$H$19)))</f>
        <v/>
      </c>
      <c r="AD495" s="251" t="str">
        <f>IF((($A495="")*($B495=""))+((MID($Y495,1,4)&lt;&gt;"Wahl")*(Deckblatt!$C$14='WK-Vorlagen'!$C$82))+(Deckblatt!$C$14&lt;&gt;'WK-Vorlagen'!$C$82),"",IF(ISERROR(MATCH(VALUE(MID(J495,1,2)),Schwierigkeitsstufen!$G$7:$G$19,0)),"Gerät falsch",LOOKUP(VALUE(MID(J495,1,2)),Schwierigkeitsstufen!$G$7:$G$19,Schwierigkeitsstufen!$H$7:$H$19)))</f>
        <v/>
      </c>
      <c r="AE495" s="211"/>
      <c r="AG495" s="221" t="str">
        <f t="shared" si="63"/>
        <v/>
      </c>
      <c r="AH495" s="222" t="str">
        <f t="shared" si="65"/>
        <v/>
      </c>
      <c r="AI495" s="220">
        <f t="shared" si="70"/>
        <v>4</v>
      </c>
      <c r="AJ495" s="222">
        <f t="shared" si="66"/>
        <v>0</v>
      </c>
      <c r="AK495" s="299" t="str">
        <f>IF(ISERROR(LOOKUP(E495,WKNrListe,Übersicht!$R$7:$R$46)),"-",LOOKUP(E495,WKNrListe,Übersicht!$R$7:$R$46))</f>
        <v>-</v>
      </c>
      <c r="AL495" s="299" t="str">
        <f t="shared" si="69"/>
        <v>-</v>
      </c>
      <c r="AM495" s="303"/>
      <c r="AN495" s="174" t="str">
        <f t="shared" ref="AN495:AN558" si="71">IF(ISBLANK(A495)*ISBLANK(B495)*ISBLANK(C495)*ISBLANK(E495)*ISBLANK(F495)*ISBLANK(G495)*ISBLANK(H495)*ISBLANK(I495)*ISBLANK(J495),"Leer","Voll")</f>
        <v>Leer</v>
      </c>
    </row>
    <row r="496" spans="1:40" s="174" customFormat="1" ht="15" customHeight="1">
      <c r="A496" s="63"/>
      <c r="B496" s="63"/>
      <c r="C496" s="84"/>
      <c r="D496" s="85"/>
      <c r="E496" s="62"/>
      <c r="F496" s="62"/>
      <c r="G496" s="62"/>
      <c r="H496" s="62"/>
      <c r="I496" s="62"/>
      <c r="J496" s="62"/>
      <c r="K496" s="62"/>
      <c r="L496" s="62"/>
      <c r="M496" s="62"/>
      <c r="N496" s="62"/>
      <c r="O496" s="62"/>
      <c r="P496" s="62"/>
      <c r="Q496" s="62"/>
      <c r="R496" s="62"/>
      <c r="S496" s="258"/>
      <c r="T496" s="248" t="str">
        <f t="shared" si="67"/>
        <v/>
      </c>
      <c r="U496" s="249" t="str">
        <f t="shared" si="68"/>
        <v/>
      </c>
      <c r="V496" s="294" t="str">
        <f t="shared" si="64"/>
        <v/>
      </c>
      <c r="W496" s="294" t="str">
        <f>IF(((E496="")+(F496="")),"",IF(VLOOKUP(F496,Mannschaften!$A$1:$B$54,2,FALSE)&lt;&gt;E496,"Reiter Mannschaften füllen",""))</f>
        <v/>
      </c>
      <c r="X496" s="248" t="str">
        <f>IF(ISBLANK(C496),"",IF((U496&gt;(LOOKUP(E496,WKNrListe,Übersicht!$O$7:$O$46)))+(U496&lt;(LOOKUP(E496,WKNrListe,Übersicht!$P$7:$P$46))),"JG falsch",""))</f>
        <v/>
      </c>
      <c r="Y496" s="255" t="str">
        <f>IF((A496="")*(B496=""),"",IF(ISERROR(MATCH(E496,WKNrListe,0)),"WK falsch",LOOKUP(E496,WKNrListe,Übersicht!$B$7:$B$46)))</f>
        <v/>
      </c>
      <c r="Z496" s="269" t="str">
        <f>IF(((AJ496=0)*(AH496&lt;&gt;"")*(AK496="-"))+((AJ496&lt;&gt;0)*(AH496&lt;&gt;"")*(AK496="-")),IF(AG496="X",Übersicht!$C$70,Übersicht!$C$69),"-")</f>
        <v>-</v>
      </c>
      <c r="AA496" s="252" t="str">
        <f>IF((($A496="")*($B496=""))+((MID($Y496,1,4)&lt;&gt;"Wahl")*(Deckblatt!$C$14='WK-Vorlagen'!$C$82))+(Deckblatt!$C$14&lt;&gt;'WK-Vorlagen'!$C$82),"",IF(ISERROR(MATCH(VALUE(MID(G496,1,2)),Schwierigkeitsstufen!$G$7:$G$19,0)),"Gerät falsch",LOOKUP(VALUE(MID(G496,1,2)),Schwierigkeitsstufen!$G$7:$G$19,Schwierigkeitsstufen!$H$7:$H$19)))</f>
        <v/>
      </c>
      <c r="AB496" s="250" t="str">
        <f>IF((($A496="")*($B496=""))+((MID($Y496,1,4)&lt;&gt;"Wahl")*(Deckblatt!$C$14='WK-Vorlagen'!$C$82))+(Deckblatt!$C$14&lt;&gt;'WK-Vorlagen'!$C$82),"",IF(ISERROR(MATCH(VALUE(MID(H496,1,2)),Schwierigkeitsstufen!$G$7:$G$19,0)),"Gerät falsch",LOOKUP(VALUE(MID(H496,1,2)),Schwierigkeitsstufen!$G$7:$G$19,Schwierigkeitsstufen!$H$7:$H$19)))</f>
        <v/>
      </c>
      <c r="AC496" s="250" t="str">
        <f>IF((($A496="")*($B496=""))+((MID($Y496,1,4)&lt;&gt;"Wahl")*(Deckblatt!$C$14='WK-Vorlagen'!$C$82))+(Deckblatt!$C$14&lt;&gt;'WK-Vorlagen'!$C$82),"",IF(ISERROR(MATCH(VALUE(MID(I496,1,2)),Schwierigkeitsstufen!$G$7:$G$19,0)),"Gerät falsch",LOOKUP(VALUE(MID(I496,1,2)),Schwierigkeitsstufen!$G$7:$G$19,Schwierigkeitsstufen!$H$7:$H$19)))</f>
        <v/>
      </c>
      <c r="AD496" s="251" t="str">
        <f>IF((($A496="")*($B496=""))+((MID($Y496,1,4)&lt;&gt;"Wahl")*(Deckblatt!$C$14='WK-Vorlagen'!$C$82))+(Deckblatt!$C$14&lt;&gt;'WK-Vorlagen'!$C$82),"",IF(ISERROR(MATCH(VALUE(MID(J496,1,2)),Schwierigkeitsstufen!$G$7:$G$19,0)),"Gerät falsch",LOOKUP(VALUE(MID(J496,1,2)),Schwierigkeitsstufen!$G$7:$G$19,Schwierigkeitsstufen!$H$7:$H$19)))</f>
        <v/>
      </c>
      <c r="AE496" s="211"/>
      <c r="AG496" s="221" t="str">
        <f t="shared" si="63"/>
        <v/>
      </c>
      <c r="AH496" s="222" t="str">
        <f t="shared" si="65"/>
        <v/>
      </c>
      <c r="AI496" s="220">
        <f t="shared" si="70"/>
        <v>4</v>
      </c>
      <c r="AJ496" s="222">
        <f t="shared" si="66"/>
        <v>0</v>
      </c>
      <c r="AK496" s="299" t="str">
        <f>IF(ISERROR(LOOKUP(E496,WKNrListe,Übersicht!$R$7:$R$46)),"-",LOOKUP(E496,WKNrListe,Übersicht!$R$7:$R$46))</f>
        <v>-</v>
      </c>
      <c r="AL496" s="299" t="str">
        <f t="shared" si="69"/>
        <v>-</v>
      </c>
      <c r="AM496" s="303"/>
      <c r="AN496" s="174" t="str">
        <f t="shared" si="71"/>
        <v>Leer</v>
      </c>
    </row>
    <row r="497" spans="1:40" s="174" customFormat="1" ht="15" customHeight="1">
      <c r="A497" s="63"/>
      <c r="B497" s="63"/>
      <c r="C497" s="84"/>
      <c r="D497" s="85"/>
      <c r="E497" s="62"/>
      <c r="F497" s="62"/>
      <c r="G497" s="62"/>
      <c r="H497" s="62"/>
      <c r="I497" s="62"/>
      <c r="J497" s="62"/>
      <c r="K497" s="62"/>
      <c r="L497" s="62"/>
      <c r="M497" s="62"/>
      <c r="N497" s="62"/>
      <c r="O497" s="62"/>
      <c r="P497" s="62"/>
      <c r="Q497" s="62"/>
      <c r="R497" s="62"/>
      <c r="S497" s="258"/>
      <c r="T497" s="248" t="str">
        <f t="shared" si="67"/>
        <v/>
      </c>
      <c r="U497" s="249" t="str">
        <f t="shared" si="68"/>
        <v/>
      </c>
      <c r="V497" s="294" t="str">
        <f t="shared" si="64"/>
        <v/>
      </c>
      <c r="W497" s="294" t="str">
        <f>IF(((E497="")+(F497="")),"",IF(VLOOKUP(F497,Mannschaften!$A$1:$B$54,2,FALSE)&lt;&gt;E497,"Reiter Mannschaften füllen",""))</f>
        <v/>
      </c>
      <c r="X497" s="248" t="str">
        <f>IF(ISBLANK(C497),"",IF((U497&gt;(LOOKUP(E497,WKNrListe,Übersicht!$O$7:$O$46)))+(U497&lt;(LOOKUP(E497,WKNrListe,Übersicht!$P$7:$P$46))),"JG falsch",""))</f>
        <v/>
      </c>
      <c r="Y497" s="255" t="str">
        <f>IF((A497="")*(B497=""),"",IF(ISERROR(MATCH(E497,WKNrListe,0)),"WK falsch",LOOKUP(E497,WKNrListe,Übersicht!$B$7:$B$46)))</f>
        <v/>
      </c>
      <c r="Z497" s="269" t="str">
        <f>IF(((AJ497=0)*(AH497&lt;&gt;"")*(AK497="-"))+((AJ497&lt;&gt;0)*(AH497&lt;&gt;"")*(AK497="-")),IF(AG497="X",Übersicht!$C$70,Übersicht!$C$69),"-")</f>
        <v>-</v>
      </c>
      <c r="AA497" s="252" t="str">
        <f>IF((($A497="")*($B497=""))+((MID($Y497,1,4)&lt;&gt;"Wahl")*(Deckblatt!$C$14='WK-Vorlagen'!$C$82))+(Deckblatt!$C$14&lt;&gt;'WK-Vorlagen'!$C$82),"",IF(ISERROR(MATCH(VALUE(MID(G497,1,2)),Schwierigkeitsstufen!$G$7:$G$19,0)),"Gerät falsch",LOOKUP(VALUE(MID(G497,1,2)),Schwierigkeitsstufen!$G$7:$G$19,Schwierigkeitsstufen!$H$7:$H$19)))</f>
        <v/>
      </c>
      <c r="AB497" s="250" t="str">
        <f>IF((($A497="")*($B497=""))+((MID($Y497,1,4)&lt;&gt;"Wahl")*(Deckblatt!$C$14='WK-Vorlagen'!$C$82))+(Deckblatt!$C$14&lt;&gt;'WK-Vorlagen'!$C$82),"",IF(ISERROR(MATCH(VALUE(MID(H497,1,2)),Schwierigkeitsstufen!$G$7:$G$19,0)),"Gerät falsch",LOOKUP(VALUE(MID(H497,1,2)),Schwierigkeitsstufen!$G$7:$G$19,Schwierigkeitsstufen!$H$7:$H$19)))</f>
        <v/>
      </c>
      <c r="AC497" s="250" t="str">
        <f>IF((($A497="")*($B497=""))+((MID($Y497,1,4)&lt;&gt;"Wahl")*(Deckblatt!$C$14='WK-Vorlagen'!$C$82))+(Deckblatt!$C$14&lt;&gt;'WK-Vorlagen'!$C$82),"",IF(ISERROR(MATCH(VALUE(MID(I497,1,2)),Schwierigkeitsstufen!$G$7:$G$19,0)),"Gerät falsch",LOOKUP(VALUE(MID(I497,1,2)),Schwierigkeitsstufen!$G$7:$G$19,Schwierigkeitsstufen!$H$7:$H$19)))</f>
        <v/>
      </c>
      <c r="AD497" s="251" t="str">
        <f>IF((($A497="")*($B497=""))+((MID($Y497,1,4)&lt;&gt;"Wahl")*(Deckblatt!$C$14='WK-Vorlagen'!$C$82))+(Deckblatt!$C$14&lt;&gt;'WK-Vorlagen'!$C$82),"",IF(ISERROR(MATCH(VALUE(MID(J497,1,2)),Schwierigkeitsstufen!$G$7:$G$19,0)),"Gerät falsch",LOOKUP(VALUE(MID(J497,1,2)),Schwierigkeitsstufen!$G$7:$G$19,Schwierigkeitsstufen!$H$7:$H$19)))</f>
        <v/>
      </c>
      <c r="AE497" s="211"/>
      <c r="AG497" s="221" t="str">
        <f t="shared" si="63"/>
        <v/>
      </c>
      <c r="AH497" s="222" t="str">
        <f t="shared" si="65"/>
        <v/>
      </c>
      <c r="AI497" s="220">
        <f t="shared" si="70"/>
        <v>4</v>
      </c>
      <c r="AJ497" s="222">
        <f t="shared" si="66"/>
        <v>0</v>
      </c>
      <c r="AK497" s="299" t="str">
        <f>IF(ISERROR(LOOKUP(E497,WKNrListe,Übersicht!$R$7:$R$46)),"-",LOOKUP(E497,WKNrListe,Übersicht!$R$7:$R$46))</f>
        <v>-</v>
      </c>
      <c r="AL497" s="299" t="str">
        <f t="shared" si="69"/>
        <v>-</v>
      </c>
      <c r="AM497" s="303"/>
      <c r="AN497" s="174" t="str">
        <f t="shared" si="71"/>
        <v>Leer</v>
      </c>
    </row>
    <row r="498" spans="1:40" s="174" customFormat="1" ht="15" customHeight="1">
      <c r="A498" s="63"/>
      <c r="B498" s="63"/>
      <c r="C498" s="84"/>
      <c r="D498" s="85"/>
      <c r="E498" s="62"/>
      <c r="F498" s="62"/>
      <c r="G498" s="62"/>
      <c r="H498" s="62"/>
      <c r="I498" s="62"/>
      <c r="J498" s="62"/>
      <c r="K498" s="62"/>
      <c r="L498" s="62"/>
      <c r="M498" s="62"/>
      <c r="N498" s="62"/>
      <c r="O498" s="62"/>
      <c r="P498" s="62"/>
      <c r="Q498" s="62"/>
      <c r="R498" s="62"/>
      <c r="S498" s="258"/>
      <c r="T498" s="248" t="str">
        <f t="shared" si="67"/>
        <v/>
      </c>
      <c r="U498" s="249" t="str">
        <f t="shared" si="68"/>
        <v/>
      </c>
      <c r="V498" s="294" t="str">
        <f t="shared" si="64"/>
        <v/>
      </c>
      <c r="W498" s="294" t="str">
        <f>IF(((E498="")+(F498="")),"",IF(VLOOKUP(F498,Mannschaften!$A$1:$B$54,2,FALSE)&lt;&gt;E498,"Reiter Mannschaften füllen",""))</f>
        <v/>
      </c>
      <c r="X498" s="248" t="str">
        <f>IF(ISBLANK(C498),"",IF((U498&gt;(LOOKUP(E498,WKNrListe,Übersicht!$O$7:$O$46)))+(U498&lt;(LOOKUP(E498,WKNrListe,Übersicht!$P$7:$P$46))),"JG falsch",""))</f>
        <v/>
      </c>
      <c r="Y498" s="255" t="str">
        <f>IF((A498="")*(B498=""),"",IF(ISERROR(MATCH(E498,WKNrListe,0)),"WK falsch",LOOKUP(E498,WKNrListe,Übersicht!$B$7:$B$46)))</f>
        <v/>
      </c>
      <c r="Z498" s="269" t="str">
        <f>IF(((AJ498=0)*(AH498&lt;&gt;"")*(AK498="-"))+((AJ498&lt;&gt;0)*(AH498&lt;&gt;"")*(AK498="-")),IF(AG498="X",Übersicht!$C$70,Übersicht!$C$69),"-")</f>
        <v>-</v>
      </c>
      <c r="AA498" s="252" t="str">
        <f>IF((($A498="")*($B498=""))+((MID($Y498,1,4)&lt;&gt;"Wahl")*(Deckblatt!$C$14='WK-Vorlagen'!$C$82))+(Deckblatt!$C$14&lt;&gt;'WK-Vorlagen'!$C$82),"",IF(ISERROR(MATCH(VALUE(MID(G498,1,2)),Schwierigkeitsstufen!$G$7:$G$19,0)),"Gerät falsch",LOOKUP(VALUE(MID(G498,1,2)),Schwierigkeitsstufen!$G$7:$G$19,Schwierigkeitsstufen!$H$7:$H$19)))</f>
        <v/>
      </c>
      <c r="AB498" s="250" t="str">
        <f>IF((($A498="")*($B498=""))+((MID($Y498,1,4)&lt;&gt;"Wahl")*(Deckblatt!$C$14='WK-Vorlagen'!$C$82))+(Deckblatt!$C$14&lt;&gt;'WK-Vorlagen'!$C$82),"",IF(ISERROR(MATCH(VALUE(MID(H498,1,2)),Schwierigkeitsstufen!$G$7:$G$19,0)),"Gerät falsch",LOOKUP(VALUE(MID(H498,1,2)),Schwierigkeitsstufen!$G$7:$G$19,Schwierigkeitsstufen!$H$7:$H$19)))</f>
        <v/>
      </c>
      <c r="AC498" s="250" t="str">
        <f>IF((($A498="")*($B498=""))+((MID($Y498,1,4)&lt;&gt;"Wahl")*(Deckblatt!$C$14='WK-Vorlagen'!$C$82))+(Deckblatt!$C$14&lt;&gt;'WK-Vorlagen'!$C$82),"",IF(ISERROR(MATCH(VALUE(MID(I498,1,2)),Schwierigkeitsstufen!$G$7:$G$19,0)),"Gerät falsch",LOOKUP(VALUE(MID(I498,1,2)),Schwierigkeitsstufen!$G$7:$G$19,Schwierigkeitsstufen!$H$7:$H$19)))</f>
        <v/>
      </c>
      <c r="AD498" s="251" t="str">
        <f>IF((($A498="")*($B498=""))+((MID($Y498,1,4)&lt;&gt;"Wahl")*(Deckblatt!$C$14='WK-Vorlagen'!$C$82))+(Deckblatt!$C$14&lt;&gt;'WK-Vorlagen'!$C$82),"",IF(ISERROR(MATCH(VALUE(MID(J498,1,2)),Schwierigkeitsstufen!$G$7:$G$19,0)),"Gerät falsch",LOOKUP(VALUE(MID(J498,1,2)),Schwierigkeitsstufen!$G$7:$G$19,Schwierigkeitsstufen!$H$7:$H$19)))</f>
        <v/>
      </c>
      <c r="AE498" s="211"/>
      <c r="AG498" s="221" t="str">
        <f t="shared" si="63"/>
        <v/>
      </c>
      <c r="AH498" s="222" t="str">
        <f t="shared" si="65"/>
        <v/>
      </c>
      <c r="AI498" s="220">
        <f t="shared" si="70"/>
        <v>4</v>
      </c>
      <c r="AJ498" s="222">
        <f t="shared" si="66"/>
        <v>0</v>
      </c>
      <c r="AK498" s="299" t="str">
        <f>IF(ISERROR(LOOKUP(E498,WKNrListe,Übersicht!$R$7:$R$46)),"-",LOOKUP(E498,WKNrListe,Übersicht!$R$7:$R$46))</f>
        <v>-</v>
      </c>
      <c r="AL498" s="299" t="str">
        <f t="shared" si="69"/>
        <v>-</v>
      </c>
      <c r="AM498" s="303"/>
      <c r="AN498" s="174" t="str">
        <f t="shared" si="71"/>
        <v>Leer</v>
      </c>
    </row>
    <row r="499" spans="1:40" s="174" customFormat="1" ht="15" customHeight="1">
      <c r="A499" s="63"/>
      <c r="B499" s="63"/>
      <c r="C499" s="84"/>
      <c r="D499" s="85"/>
      <c r="E499" s="62"/>
      <c r="F499" s="62"/>
      <c r="G499" s="62"/>
      <c r="H499" s="62"/>
      <c r="I499" s="62"/>
      <c r="J499" s="62"/>
      <c r="K499" s="62"/>
      <c r="L499" s="62"/>
      <c r="M499" s="62"/>
      <c r="N499" s="62"/>
      <c r="O499" s="62"/>
      <c r="P499" s="62"/>
      <c r="Q499" s="62"/>
      <c r="R499" s="62"/>
      <c r="S499" s="258"/>
      <c r="T499" s="248" t="str">
        <f t="shared" si="67"/>
        <v/>
      </c>
      <c r="U499" s="249" t="str">
        <f t="shared" si="68"/>
        <v/>
      </c>
      <c r="V499" s="294" t="str">
        <f t="shared" si="64"/>
        <v/>
      </c>
      <c r="W499" s="294" t="str">
        <f>IF(((E499="")+(F499="")),"",IF(VLOOKUP(F499,Mannschaften!$A$1:$B$54,2,FALSE)&lt;&gt;E499,"Reiter Mannschaften füllen",""))</f>
        <v/>
      </c>
      <c r="X499" s="248" t="str">
        <f>IF(ISBLANK(C499),"",IF((U499&gt;(LOOKUP(E499,WKNrListe,Übersicht!$O$7:$O$46)))+(U499&lt;(LOOKUP(E499,WKNrListe,Übersicht!$P$7:$P$46))),"JG falsch",""))</f>
        <v/>
      </c>
      <c r="Y499" s="255" t="str">
        <f>IF((A499="")*(B499=""),"",IF(ISERROR(MATCH(E499,WKNrListe,0)),"WK falsch",LOOKUP(E499,WKNrListe,Übersicht!$B$7:$B$46)))</f>
        <v/>
      </c>
      <c r="Z499" s="269" t="str">
        <f>IF(((AJ499=0)*(AH499&lt;&gt;"")*(AK499="-"))+((AJ499&lt;&gt;0)*(AH499&lt;&gt;"")*(AK499="-")),IF(AG499="X",Übersicht!$C$70,Übersicht!$C$69),"-")</f>
        <v>-</v>
      </c>
      <c r="AA499" s="252" t="str">
        <f>IF((($A499="")*($B499=""))+((MID($Y499,1,4)&lt;&gt;"Wahl")*(Deckblatt!$C$14='WK-Vorlagen'!$C$82))+(Deckblatt!$C$14&lt;&gt;'WK-Vorlagen'!$C$82),"",IF(ISERROR(MATCH(VALUE(MID(G499,1,2)),Schwierigkeitsstufen!$G$7:$G$19,0)),"Gerät falsch",LOOKUP(VALUE(MID(G499,1,2)),Schwierigkeitsstufen!$G$7:$G$19,Schwierigkeitsstufen!$H$7:$H$19)))</f>
        <v/>
      </c>
      <c r="AB499" s="250" t="str">
        <f>IF((($A499="")*($B499=""))+((MID($Y499,1,4)&lt;&gt;"Wahl")*(Deckblatt!$C$14='WK-Vorlagen'!$C$82))+(Deckblatt!$C$14&lt;&gt;'WK-Vorlagen'!$C$82),"",IF(ISERROR(MATCH(VALUE(MID(H499,1,2)),Schwierigkeitsstufen!$G$7:$G$19,0)),"Gerät falsch",LOOKUP(VALUE(MID(H499,1,2)),Schwierigkeitsstufen!$G$7:$G$19,Schwierigkeitsstufen!$H$7:$H$19)))</f>
        <v/>
      </c>
      <c r="AC499" s="250" t="str">
        <f>IF((($A499="")*($B499=""))+((MID($Y499,1,4)&lt;&gt;"Wahl")*(Deckblatt!$C$14='WK-Vorlagen'!$C$82))+(Deckblatt!$C$14&lt;&gt;'WK-Vorlagen'!$C$82),"",IF(ISERROR(MATCH(VALUE(MID(I499,1,2)),Schwierigkeitsstufen!$G$7:$G$19,0)),"Gerät falsch",LOOKUP(VALUE(MID(I499,1,2)),Schwierigkeitsstufen!$G$7:$G$19,Schwierigkeitsstufen!$H$7:$H$19)))</f>
        <v/>
      </c>
      <c r="AD499" s="251" t="str">
        <f>IF((($A499="")*($B499=""))+((MID($Y499,1,4)&lt;&gt;"Wahl")*(Deckblatt!$C$14='WK-Vorlagen'!$C$82))+(Deckblatt!$C$14&lt;&gt;'WK-Vorlagen'!$C$82),"",IF(ISERROR(MATCH(VALUE(MID(J499,1,2)),Schwierigkeitsstufen!$G$7:$G$19,0)),"Gerät falsch",LOOKUP(VALUE(MID(J499,1,2)),Schwierigkeitsstufen!$G$7:$G$19,Schwierigkeitsstufen!$H$7:$H$19)))</f>
        <v/>
      </c>
      <c r="AE499" s="211"/>
      <c r="AG499" s="221" t="str">
        <f t="shared" si="63"/>
        <v/>
      </c>
      <c r="AH499" s="222" t="str">
        <f t="shared" si="65"/>
        <v/>
      </c>
      <c r="AI499" s="220">
        <f t="shared" si="70"/>
        <v>4</v>
      </c>
      <c r="AJ499" s="222">
        <f t="shared" si="66"/>
        <v>0</v>
      </c>
      <c r="AK499" s="299" t="str">
        <f>IF(ISERROR(LOOKUP(E499,WKNrListe,Übersicht!$R$7:$R$46)),"-",LOOKUP(E499,WKNrListe,Übersicht!$R$7:$R$46))</f>
        <v>-</v>
      </c>
      <c r="AL499" s="299" t="str">
        <f t="shared" si="69"/>
        <v>-</v>
      </c>
      <c r="AM499" s="303"/>
      <c r="AN499" s="174" t="str">
        <f t="shared" si="71"/>
        <v>Leer</v>
      </c>
    </row>
    <row r="500" spans="1:40" s="174" customFormat="1" ht="15" customHeight="1">
      <c r="A500" s="63"/>
      <c r="B500" s="63"/>
      <c r="C500" s="84"/>
      <c r="D500" s="85"/>
      <c r="E500" s="62"/>
      <c r="F500" s="62"/>
      <c r="G500" s="62"/>
      <c r="H500" s="62"/>
      <c r="I500" s="62"/>
      <c r="J500" s="62"/>
      <c r="K500" s="62"/>
      <c r="L500" s="62"/>
      <c r="M500" s="62"/>
      <c r="N500" s="62"/>
      <c r="O500" s="62"/>
      <c r="P500" s="62"/>
      <c r="Q500" s="62"/>
      <c r="R500" s="62"/>
      <c r="S500" s="258"/>
      <c r="T500" s="248" t="str">
        <f t="shared" si="67"/>
        <v/>
      </c>
      <c r="U500" s="249" t="str">
        <f t="shared" si="68"/>
        <v/>
      </c>
      <c r="V500" s="294" t="str">
        <f t="shared" si="64"/>
        <v/>
      </c>
      <c r="W500" s="294" t="str">
        <f>IF(((E500="")+(F500="")),"",IF(VLOOKUP(F500,Mannschaften!$A$1:$B$54,2,FALSE)&lt;&gt;E500,"Reiter Mannschaften füllen",""))</f>
        <v/>
      </c>
      <c r="X500" s="248" t="str">
        <f>IF(ISBLANK(C500),"",IF((U500&gt;(LOOKUP(E500,WKNrListe,Übersicht!$O$7:$O$46)))+(U500&lt;(LOOKUP(E500,WKNrListe,Übersicht!$P$7:$P$46))),"JG falsch",""))</f>
        <v/>
      </c>
      <c r="Y500" s="255" t="str">
        <f>IF((A500="")*(B500=""),"",IF(ISERROR(MATCH(E500,WKNrListe,0)),"WK falsch",LOOKUP(E500,WKNrListe,Übersicht!$B$7:$B$46)))</f>
        <v/>
      </c>
      <c r="Z500" s="269" t="str">
        <f>IF(((AJ500=0)*(AH500&lt;&gt;"")*(AK500="-"))+((AJ500&lt;&gt;0)*(AH500&lt;&gt;"")*(AK500="-")),IF(AG500="X",Übersicht!$C$70,Übersicht!$C$69),"-")</f>
        <v>-</v>
      </c>
      <c r="AA500" s="252" t="str">
        <f>IF((($A500="")*($B500=""))+((MID($Y500,1,4)&lt;&gt;"Wahl")*(Deckblatt!$C$14='WK-Vorlagen'!$C$82))+(Deckblatt!$C$14&lt;&gt;'WK-Vorlagen'!$C$82),"",IF(ISERROR(MATCH(VALUE(MID(G500,1,2)),Schwierigkeitsstufen!$G$7:$G$19,0)),"Gerät falsch",LOOKUP(VALUE(MID(G500,1,2)),Schwierigkeitsstufen!$G$7:$G$19,Schwierigkeitsstufen!$H$7:$H$19)))</f>
        <v/>
      </c>
      <c r="AB500" s="250" t="str">
        <f>IF((($A500="")*($B500=""))+((MID($Y500,1,4)&lt;&gt;"Wahl")*(Deckblatt!$C$14='WK-Vorlagen'!$C$82))+(Deckblatt!$C$14&lt;&gt;'WK-Vorlagen'!$C$82),"",IF(ISERROR(MATCH(VALUE(MID(H500,1,2)),Schwierigkeitsstufen!$G$7:$G$19,0)),"Gerät falsch",LOOKUP(VALUE(MID(H500,1,2)),Schwierigkeitsstufen!$G$7:$G$19,Schwierigkeitsstufen!$H$7:$H$19)))</f>
        <v/>
      </c>
      <c r="AC500" s="250" t="str">
        <f>IF((($A500="")*($B500=""))+((MID($Y500,1,4)&lt;&gt;"Wahl")*(Deckblatt!$C$14='WK-Vorlagen'!$C$82))+(Deckblatt!$C$14&lt;&gt;'WK-Vorlagen'!$C$82),"",IF(ISERROR(MATCH(VALUE(MID(I500,1,2)),Schwierigkeitsstufen!$G$7:$G$19,0)),"Gerät falsch",LOOKUP(VALUE(MID(I500,1,2)),Schwierigkeitsstufen!$G$7:$G$19,Schwierigkeitsstufen!$H$7:$H$19)))</f>
        <v/>
      </c>
      <c r="AD500" s="251" t="str">
        <f>IF((($A500="")*($B500=""))+((MID($Y500,1,4)&lt;&gt;"Wahl")*(Deckblatt!$C$14='WK-Vorlagen'!$C$82))+(Deckblatt!$C$14&lt;&gt;'WK-Vorlagen'!$C$82),"",IF(ISERROR(MATCH(VALUE(MID(J500,1,2)),Schwierigkeitsstufen!$G$7:$G$19,0)),"Gerät falsch",LOOKUP(VALUE(MID(J500,1,2)),Schwierigkeitsstufen!$G$7:$G$19,Schwierigkeitsstufen!$H$7:$H$19)))</f>
        <v/>
      </c>
      <c r="AE500" s="211"/>
      <c r="AG500" s="221" t="str">
        <f t="shared" si="63"/>
        <v/>
      </c>
      <c r="AH500" s="222" t="str">
        <f t="shared" si="65"/>
        <v/>
      </c>
      <c r="AI500" s="220">
        <f t="shared" si="70"/>
        <v>4</v>
      </c>
      <c r="AJ500" s="222">
        <f t="shared" si="66"/>
        <v>0</v>
      </c>
      <c r="AK500" s="299" t="str">
        <f>IF(ISERROR(LOOKUP(E500,WKNrListe,Übersicht!$R$7:$R$46)),"-",LOOKUP(E500,WKNrListe,Übersicht!$R$7:$R$46))</f>
        <v>-</v>
      </c>
      <c r="AL500" s="299" t="str">
        <f t="shared" si="69"/>
        <v>-</v>
      </c>
      <c r="AM500" s="303"/>
      <c r="AN500" s="174" t="str">
        <f t="shared" si="71"/>
        <v>Leer</v>
      </c>
    </row>
    <row r="501" spans="1:40" s="174" customFormat="1" ht="15" customHeight="1">
      <c r="A501" s="63"/>
      <c r="B501" s="63"/>
      <c r="C501" s="84"/>
      <c r="D501" s="85"/>
      <c r="E501" s="62"/>
      <c r="F501" s="62"/>
      <c r="G501" s="62"/>
      <c r="H501" s="62"/>
      <c r="I501" s="62"/>
      <c r="J501" s="62"/>
      <c r="K501" s="62"/>
      <c r="L501" s="62"/>
      <c r="M501" s="62"/>
      <c r="N501" s="62"/>
      <c r="O501" s="62"/>
      <c r="P501" s="62"/>
      <c r="Q501" s="62"/>
      <c r="R501" s="62"/>
      <c r="S501" s="258"/>
      <c r="T501" s="248" t="str">
        <f t="shared" si="67"/>
        <v/>
      </c>
      <c r="U501" s="249" t="str">
        <f t="shared" si="68"/>
        <v/>
      </c>
      <c r="V501" s="294" t="str">
        <f t="shared" si="64"/>
        <v/>
      </c>
      <c r="W501" s="294" t="str">
        <f>IF(((E501="")+(F501="")),"",IF(VLOOKUP(F501,Mannschaften!$A$1:$B$54,2,FALSE)&lt;&gt;E501,"Reiter Mannschaften füllen",""))</f>
        <v/>
      </c>
      <c r="X501" s="248" t="str">
        <f>IF(ISBLANK(C501),"",IF((U501&gt;(LOOKUP(E501,WKNrListe,Übersicht!$O$7:$O$46)))+(U501&lt;(LOOKUP(E501,WKNrListe,Übersicht!$P$7:$P$46))),"JG falsch",""))</f>
        <v/>
      </c>
      <c r="Y501" s="255" t="str">
        <f>IF((A501="")*(B501=""),"",IF(ISERROR(MATCH(E501,WKNrListe,0)),"WK falsch",LOOKUP(E501,WKNrListe,Übersicht!$B$7:$B$46)))</f>
        <v/>
      </c>
      <c r="Z501" s="269" t="str">
        <f>IF(((AJ501=0)*(AH501&lt;&gt;"")*(AK501="-"))+((AJ501&lt;&gt;0)*(AH501&lt;&gt;"")*(AK501="-")),IF(AG501="X",Übersicht!$C$70,Übersicht!$C$69),"-")</f>
        <v>-</v>
      </c>
      <c r="AA501" s="252" t="str">
        <f>IF((($A501="")*($B501=""))+((MID($Y501,1,4)&lt;&gt;"Wahl")*(Deckblatt!$C$14='WK-Vorlagen'!$C$82))+(Deckblatt!$C$14&lt;&gt;'WK-Vorlagen'!$C$82),"",IF(ISERROR(MATCH(VALUE(MID(G501,1,2)),Schwierigkeitsstufen!$G$7:$G$19,0)),"Gerät falsch",LOOKUP(VALUE(MID(G501,1,2)),Schwierigkeitsstufen!$G$7:$G$19,Schwierigkeitsstufen!$H$7:$H$19)))</f>
        <v/>
      </c>
      <c r="AB501" s="250" t="str">
        <f>IF((($A501="")*($B501=""))+((MID($Y501,1,4)&lt;&gt;"Wahl")*(Deckblatt!$C$14='WK-Vorlagen'!$C$82))+(Deckblatt!$C$14&lt;&gt;'WK-Vorlagen'!$C$82),"",IF(ISERROR(MATCH(VALUE(MID(H501,1,2)),Schwierigkeitsstufen!$G$7:$G$19,0)),"Gerät falsch",LOOKUP(VALUE(MID(H501,1,2)),Schwierigkeitsstufen!$G$7:$G$19,Schwierigkeitsstufen!$H$7:$H$19)))</f>
        <v/>
      </c>
      <c r="AC501" s="250" t="str">
        <f>IF((($A501="")*($B501=""))+((MID($Y501,1,4)&lt;&gt;"Wahl")*(Deckblatt!$C$14='WK-Vorlagen'!$C$82))+(Deckblatt!$C$14&lt;&gt;'WK-Vorlagen'!$C$82),"",IF(ISERROR(MATCH(VALUE(MID(I501,1,2)),Schwierigkeitsstufen!$G$7:$G$19,0)),"Gerät falsch",LOOKUP(VALUE(MID(I501,1,2)),Schwierigkeitsstufen!$G$7:$G$19,Schwierigkeitsstufen!$H$7:$H$19)))</f>
        <v/>
      </c>
      <c r="AD501" s="251" t="str">
        <f>IF((($A501="")*($B501=""))+((MID($Y501,1,4)&lt;&gt;"Wahl")*(Deckblatt!$C$14='WK-Vorlagen'!$C$82))+(Deckblatt!$C$14&lt;&gt;'WK-Vorlagen'!$C$82),"",IF(ISERROR(MATCH(VALUE(MID(J501,1,2)),Schwierigkeitsstufen!$G$7:$G$19,0)),"Gerät falsch",LOOKUP(VALUE(MID(J501,1,2)),Schwierigkeitsstufen!$G$7:$G$19,Schwierigkeitsstufen!$H$7:$H$19)))</f>
        <v/>
      </c>
      <c r="AE501" s="211"/>
      <c r="AG501" s="221" t="str">
        <f t="shared" si="63"/>
        <v/>
      </c>
      <c r="AH501" s="222" t="str">
        <f t="shared" si="65"/>
        <v/>
      </c>
      <c r="AI501" s="220">
        <f t="shared" si="70"/>
        <v>4</v>
      </c>
      <c r="AJ501" s="222">
        <f t="shared" si="66"/>
        <v>0</v>
      </c>
      <c r="AK501" s="299" t="str">
        <f>IF(ISERROR(LOOKUP(E501,WKNrListe,Übersicht!$R$7:$R$46)),"-",LOOKUP(E501,WKNrListe,Übersicht!$R$7:$R$46))</f>
        <v>-</v>
      </c>
      <c r="AL501" s="299" t="str">
        <f t="shared" si="69"/>
        <v>-</v>
      </c>
      <c r="AM501" s="303"/>
      <c r="AN501" s="174" t="str">
        <f t="shared" si="71"/>
        <v>Leer</v>
      </c>
    </row>
    <row r="502" spans="1:40" s="174" customFormat="1" ht="15" customHeight="1">
      <c r="A502" s="63"/>
      <c r="B502" s="63"/>
      <c r="C502" s="84"/>
      <c r="D502" s="85"/>
      <c r="E502" s="62"/>
      <c r="F502" s="62"/>
      <c r="G502" s="62"/>
      <c r="H502" s="62"/>
      <c r="I502" s="62"/>
      <c r="J502" s="62"/>
      <c r="K502" s="62"/>
      <c r="L502" s="62"/>
      <c r="M502" s="62"/>
      <c r="N502" s="62"/>
      <c r="O502" s="62"/>
      <c r="P502" s="62"/>
      <c r="Q502" s="62"/>
      <c r="R502" s="62"/>
      <c r="S502" s="258"/>
      <c r="T502" s="248" t="str">
        <f t="shared" si="67"/>
        <v/>
      </c>
      <c r="U502" s="249" t="str">
        <f t="shared" si="68"/>
        <v/>
      </c>
      <c r="V502" s="294" t="str">
        <f t="shared" si="64"/>
        <v/>
      </c>
      <c r="W502" s="294" t="str">
        <f>IF(((E502="")+(F502="")),"",IF(VLOOKUP(F502,Mannschaften!$A$1:$B$54,2,FALSE)&lt;&gt;E502,"Reiter Mannschaften füllen",""))</f>
        <v/>
      </c>
      <c r="X502" s="248" t="str">
        <f>IF(ISBLANK(C502),"",IF((U502&gt;(LOOKUP(E502,WKNrListe,Übersicht!$O$7:$O$46)))+(U502&lt;(LOOKUP(E502,WKNrListe,Übersicht!$P$7:$P$46))),"JG falsch",""))</f>
        <v/>
      </c>
      <c r="Y502" s="255" t="str">
        <f>IF((A502="")*(B502=""),"",IF(ISERROR(MATCH(E502,WKNrListe,0)),"WK falsch",LOOKUP(E502,WKNrListe,Übersicht!$B$7:$B$46)))</f>
        <v/>
      </c>
      <c r="Z502" s="269" t="str">
        <f>IF(((AJ502=0)*(AH502&lt;&gt;"")*(AK502="-"))+((AJ502&lt;&gt;0)*(AH502&lt;&gt;"")*(AK502="-")),IF(AG502="X",Übersicht!$C$70,Übersicht!$C$69),"-")</f>
        <v>-</v>
      </c>
      <c r="AA502" s="252" t="str">
        <f>IF((($A502="")*($B502=""))+((MID($Y502,1,4)&lt;&gt;"Wahl")*(Deckblatt!$C$14='WK-Vorlagen'!$C$82))+(Deckblatt!$C$14&lt;&gt;'WK-Vorlagen'!$C$82),"",IF(ISERROR(MATCH(VALUE(MID(G502,1,2)),Schwierigkeitsstufen!$G$7:$G$19,0)),"Gerät falsch",LOOKUP(VALUE(MID(G502,1,2)),Schwierigkeitsstufen!$G$7:$G$19,Schwierigkeitsstufen!$H$7:$H$19)))</f>
        <v/>
      </c>
      <c r="AB502" s="250" t="str">
        <f>IF((($A502="")*($B502=""))+((MID($Y502,1,4)&lt;&gt;"Wahl")*(Deckblatt!$C$14='WK-Vorlagen'!$C$82))+(Deckblatt!$C$14&lt;&gt;'WK-Vorlagen'!$C$82),"",IF(ISERROR(MATCH(VALUE(MID(H502,1,2)),Schwierigkeitsstufen!$G$7:$G$19,0)),"Gerät falsch",LOOKUP(VALUE(MID(H502,1,2)),Schwierigkeitsstufen!$G$7:$G$19,Schwierigkeitsstufen!$H$7:$H$19)))</f>
        <v/>
      </c>
      <c r="AC502" s="250" t="str">
        <f>IF((($A502="")*($B502=""))+((MID($Y502,1,4)&lt;&gt;"Wahl")*(Deckblatt!$C$14='WK-Vorlagen'!$C$82))+(Deckblatt!$C$14&lt;&gt;'WK-Vorlagen'!$C$82),"",IF(ISERROR(MATCH(VALUE(MID(I502,1,2)),Schwierigkeitsstufen!$G$7:$G$19,0)),"Gerät falsch",LOOKUP(VALUE(MID(I502,1,2)),Schwierigkeitsstufen!$G$7:$G$19,Schwierigkeitsstufen!$H$7:$H$19)))</f>
        <v/>
      </c>
      <c r="AD502" s="251" t="str">
        <f>IF((($A502="")*($B502=""))+((MID($Y502,1,4)&lt;&gt;"Wahl")*(Deckblatt!$C$14='WK-Vorlagen'!$C$82))+(Deckblatt!$C$14&lt;&gt;'WK-Vorlagen'!$C$82),"",IF(ISERROR(MATCH(VALUE(MID(J502,1,2)),Schwierigkeitsstufen!$G$7:$G$19,0)),"Gerät falsch",LOOKUP(VALUE(MID(J502,1,2)),Schwierigkeitsstufen!$G$7:$G$19,Schwierigkeitsstufen!$H$7:$H$19)))</f>
        <v/>
      </c>
      <c r="AE502" s="211"/>
      <c r="AG502" s="221" t="str">
        <f t="shared" si="63"/>
        <v/>
      </c>
      <c r="AH502" s="222" t="str">
        <f t="shared" si="65"/>
        <v/>
      </c>
      <c r="AI502" s="220">
        <f t="shared" si="70"/>
        <v>4</v>
      </c>
      <c r="AJ502" s="222">
        <f t="shared" si="66"/>
        <v>0</v>
      </c>
      <c r="AK502" s="299" t="str">
        <f>IF(ISERROR(LOOKUP(E502,WKNrListe,Übersicht!$R$7:$R$46)),"-",LOOKUP(E502,WKNrListe,Übersicht!$R$7:$R$46))</f>
        <v>-</v>
      </c>
      <c r="AL502" s="299" t="str">
        <f t="shared" si="69"/>
        <v>-</v>
      </c>
      <c r="AM502" s="303"/>
      <c r="AN502" s="174" t="str">
        <f t="shared" si="71"/>
        <v>Leer</v>
      </c>
    </row>
    <row r="503" spans="1:40" s="174" customFormat="1" ht="15" customHeight="1">
      <c r="A503" s="63"/>
      <c r="B503" s="63"/>
      <c r="C503" s="84"/>
      <c r="D503" s="85"/>
      <c r="E503" s="62"/>
      <c r="F503" s="62"/>
      <c r="G503" s="62"/>
      <c r="H503" s="62"/>
      <c r="I503" s="62"/>
      <c r="J503" s="62"/>
      <c r="K503" s="62"/>
      <c r="L503" s="62"/>
      <c r="M503" s="62"/>
      <c r="N503" s="62"/>
      <c r="O503" s="62"/>
      <c r="P503" s="62"/>
      <c r="Q503" s="62"/>
      <c r="R503" s="62"/>
      <c r="S503" s="258"/>
      <c r="T503" s="248" t="str">
        <f t="shared" si="67"/>
        <v/>
      </c>
      <c r="U503" s="249" t="str">
        <f t="shared" si="68"/>
        <v/>
      </c>
      <c r="V503" s="294" t="str">
        <f t="shared" si="64"/>
        <v/>
      </c>
      <c r="W503" s="294" t="str">
        <f>IF(((E503="")+(F503="")),"",IF(VLOOKUP(F503,Mannschaften!$A$1:$B$54,2,FALSE)&lt;&gt;E503,"Reiter Mannschaften füllen",""))</f>
        <v/>
      </c>
      <c r="X503" s="248" t="str">
        <f>IF(ISBLANK(C503),"",IF((U503&gt;(LOOKUP(E503,WKNrListe,Übersicht!$O$7:$O$46)))+(U503&lt;(LOOKUP(E503,WKNrListe,Übersicht!$P$7:$P$46))),"JG falsch",""))</f>
        <v/>
      </c>
      <c r="Y503" s="255" t="str">
        <f>IF((A503="")*(B503=""),"",IF(ISERROR(MATCH(E503,WKNrListe,0)),"WK falsch",LOOKUP(E503,WKNrListe,Übersicht!$B$7:$B$46)))</f>
        <v/>
      </c>
      <c r="Z503" s="269" t="str">
        <f>IF(((AJ503=0)*(AH503&lt;&gt;"")*(AK503="-"))+((AJ503&lt;&gt;0)*(AH503&lt;&gt;"")*(AK503="-")),IF(AG503="X",Übersicht!$C$70,Übersicht!$C$69),"-")</f>
        <v>-</v>
      </c>
      <c r="AA503" s="252" t="str">
        <f>IF((($A503="")*($B503=""))+((MID($Y503,1,4)&lt;&gt;"Wahl")*(Deckblatt!$C$14='WK-Vorlagen'!$C$82))+(Deckblatt!$C$14&lt;&gt;'WK-Vorlagen'!$C$82),"",IF(ISERROR(MATCH(VALUE(MID(G503,1,2)),Schwierigkeitsstufen!$G$7:$G$19,0)),"Gerät falsch",LOOKUP(VALUE(MID(G503,1,2)),Schwierigkeitsstufen!$G$7:$G$19,Schwierigkeitsstufen!$H$7:$H$19)))</f>
        <v/>
      </c>
      <c r="AB503" s="250" t="str">
        <f>IF((($A503="")*($B503=""))+((MID($Y503,1,4)&lt;&gt;"Wahl")*(Deckblatt!$C$14='WK-Vorlagen'!$C$82))+(Deckblatt!$C$14&lt;&gt;'WK-Vorlagen'!$C$82),"",IF(ISERROR(MATCH(VALUE(MID(H503,1,2)),Schwierigkeitsstufen!$G$7:$G$19,0)),"Gerät falsch",LOOKUP(VALUE(MID(H503,1,2)),Schwierigkeitsstufen!$G$7:$G$19,Schwierigkeitsstufen!$H$7:$H$19)))</f>
        <v/>
      </c>
      <c r="AC503" s="250" t="str">
        <f>IF((($A503="")*($B503=""))+((MID($Y503,1,4)&lt;&gt;"Wahl")*(Deckblatt!$C$14='WK-Vorlagen'!$C$82))+(Deckblatt!$C$14&lt;&gt;'WK-Vorlagen'!$C$82),"",IF(ISERROR(MATCH(VALUE(MID(I503,1,2)),Schwierigkeitsstufen!$G$7:$G$19,0)),"Gerät falsch",LOOKUP(VALUE(MID(I503,1,2)),Schwierigkeitsstufen!$G$7:$G$19,Schwierigkeitsstufen!$H$7:$H$19)))</f>
        <v/>
      </c>
      <c r="AD503" s="251" t="str">
        <f>IF((($A503="")*($B503=""))+((MID($Y503,1,4)&lt;&gt;"Wahl")*(Deckblatt!$C$14='WK-Vorlagen'!$C$82))+(Deckblatt!$C$14&lt;&gt;'WK-Vorlagen'!$C$82),"",IF(ISERROR(MATCH(VALUE(MID(J503,1,2)),Schwierigkeitsstufen!$G$7:$G$19,0)),"Gerät falsch",LOOKUP(VALUE(MID(J503,1,2)),Schwierigkeitsstufen!$G$7:$G$19,Schwierigkeitsstufen!$H$7:$H$19)))</f>
        <v/>
      </c>
      <c r="AE503" s="211"/>
      <c r="AG503" s="221" t="str">
        <f t="shared" si="63"/>
        <v/>
      </c>
      <c r="AH503" s="222" t="str">
        <f t="shared" si="65"/>
        <v/>
      </c>
      <c r="AI503" s="220">
        <f t="shared" si="70"/>
        <v>4</v>
      </c>
      <c r="AJ503" s="222">
        <f t="shared" si="66"/>
        <v>0</v>
      </c>
      <c r="AK503" s="299" t="str">
        <f>IF(ISERROR(LOOKUP(E503,WKNrListe,Übersicht!$R$7:$R$46)),"-",LOOKUP(E503,WKNrListe,Übersicht!$R$7:$R$46))</f>
        <v>-</v>
      </c>
      <c r="AL503" s="299" t="str">
        <f t="shared" si="69"/>
        <v>-</v>
      </c>
      <c r="AM503" s="303"/>
      <c r="AN503" s="174" t="str">
        <f t="shared" si="71"/>
        <v>Leer</v>
      </c>
    </row>
    <row r="504" spans="1:40" s="174" customFormat="1" ht="15" customHeight="1">
      <c r="A504" s="63"/>
      <c r="B504" s="63"/>
      <c r="C504" s="84"/>
      <c r="D504" s="85"/>
      <c r="E504" s="62"/>
      <c r="F504" s="62"/>
      <c r="G504" s="62"/>
      <c r="H504" s="62"/>
      <c r="I504" s="62"/>
      <c r="J504" s="62"/>
      <c r="K504" s="62"/>
      <c r="L504" s="62"/>
      <c r="M504" s="62"/>
      <c r="N504" s="62"/>
      <c r="O504" s="62"/>
      <c r="P504" s="62"/>
      <c r="Q504" s="62"/>
      <c r="R504" s="62"/>
      <c r="S504" s="258"/>
      <c r="T504" s="248" t="str">
        <f t="shared" si="67"/>
        <v/>
      </c>
      <c r="U504" s="249" t="str">
        <f t="shared" si="68"/>
        <v/>
      </c>
      <c r="V504" s="294" t="str">
        <f t="shared" si="64"/>
        <v/>
      </c>
      <c r="W504" s="294" t="str">
        <f>IF(((E504="")+(F504="")),"",IF(VLOOKUP(F504,Mannschaften!$A$1:$B$54,2,FALSE)&lt;&gt;E504,"Reiter Mannschaften füllen",""))</f>
        <v/>
      </c>
      <c r="X504" s="248" t="str">
        <f>IF(ISBLANK(C504),"",IF((U504&gt;(LOOKUP(E504,WKNrListe,Übersicht!$O$7:$O$46)))+(U504&lt;(LOOKUP(E504,WKNrListe,Übersicht!$P$7:$P$46))),"JG falsch",""))</f>
        <v/>
      </c>
      <c r="Y504" s="255" t="str">
        <f>IF((A504="")*(B504=""),"",IF(ISERROR(MATCH(E504,WKNrListe,0)),"WK falsch",LOOKUP(E504,WKNrListe,Übersicht!$B$7:$B$46)))</f>
        <v/>
      </c>
      <c r="Z504" s="269" t="str">
        <f>IF(((AJ504=0)*(AH504&lt;&gt;"")*(AK504="-"))+((AJ504&lt;&gt;0)*(AH504&lt;&gt;"")*(AK504="-")),IF(AG504="X",Übersicht!$C$70,Übersicht!$C$69),"-")</f>
        <v>-</v>
      </c>
      <c r="AA504" s="252" t="str">
        <f>IF((($A504="")*($B504=""))+((MID($Y504,1,4)&lt;&gt;"Wahl")*(Deckblatt!$C$14='WK-Vorlagen'!$C$82))+(Deckblatt!$C$14&lt;&gt;'WK-Vorlagen'!$C$82),"",IF(ISERROR(MATCH(VALUE(MID(G504,1,2)),Schwierigkeitsstufen!$G$7:$G$19,0)),"Gerät falsch",LOOKUP(VALUE(MID(G504,1,2)),Schwierigkeitsstufen!$G$7:$G$19,Schwierigkeitsstufen!$H$7:$H$19)))</f>
        <v/>
      </c>
      <c r="AB504" s="250" t="str">
        <f>IF((($A504="")*($B504=""))+((MID($Y504,1,4)&lt;&gt;"Wahl")*(Deckblatt!$C$14='WK-Vorlagen'!$C$82))+(Deckblatt!$C$14&lt;&gt;'WK-Vorlagen'!$C$82),"",IF(ISERROR(MATCH(VALUE(MID(H504,1,2)),Schwierigkeitsstufen!$G$7:$G$19,0)),"Gerät falsch",LOOKUP(VALUE(MID(H504,1,2)),Schwierigkeitsstufen!$G$7:$G$19,Schwierigkeitsstufen!$H$7:$H$19)))</f>
        <v/>
      </c>
      <c r="AC504" s="250" t="str">
        <f>IF((($A504="")*($B504=""))+((MID($Y504,1,4)&lt;&gt;"Wahl")*(Deckblatt!$C$14='WK-Vorlagen'!$C$82))+(Deckblatt!$C$14&lt;&gt;'WK-Vorlagen'!$C$82),"",IF(ISERROR(MATCH(VALUE(MID(I504,1,2)),Schwierigkeitsstufen!$G$7:$G$19,0)),"Gerät falsch",LOOKUP(VALUE(MID(I504,1,2)),Schwierigkeitsstufen!$G$7:$G$19,Schwierigkeitsstufen!$H$7:$H$19)))</f>
        <v/>
      </c>
      <c r="AD504" s="251" t="str">
        <f>IF((($A504="")*($B504=""))+((MID($Y504,1,4)&lt;&gt;"Wahl")*(Deckblatt!$C$14='WK-Vorlagen'!$C$82))+(Deckblatt!$C$14&lt;&gt;'WK-Vorlagen'!$C$82),"",IF(ISERROR(MATCH(VALUE(MID(J504,1,2)),Schwierigkeitsstufen!$G$7:$G$19,0)),"Gerät falsch",LOOKUP(VALUE(MID(J504,1,2)),Schwierigkeitsstufen!$G$7:$G$19,Schwierigkeitsstufen!$H$7:$H$19)))</f>
        <v/>
      </c>
      <c r="AE504" s="211"/>
      <c r="AG504" s="221" t="str">
        <f t="shared" si="63"/>
        <v/>
      </c>
      <c r="AH504" s="222" t="str">
        <f t="shared" si="65"/>
        <v/>
      </c>
      <c r="AI504" s="220">
        <f t="shared" si="70"/>
        <v>4</v>
      </c>
      <c r="AJ504" s="222">
        <f t="shared" si="66"/>
        <v>0</v>
      </c>
      <c r="AK504" s="299" t="str">
        <f>IF(ISERROR(LOOKUP(E504,WKNrListe,Übersicht!$R$7:$R$46)),"-",LOOKUP(E504,WKNrListe,Übersicht!$R$7:$R$46))</f>
        <v>-</v>
      </c>
      <c r="AL504" s="299" t="str">
        <f t="shared" si="69"/>
        <v>-</v>
      </c>
      <c r="AM504" s="303"/>
      <c r="AN504" s="174" t="str">
        <f t="shared" si="71"/>
        <v>Leer</v>
      </c>
    </row>
    <row r="505" spans="1:40" s="174" customFormat="1" ht="15" customHeight="1">
      <c r="A505" s="63"/>
      <c r="B505" s="63"/>
      <c r="C505" s="84"/>
      <c r="D505" s="85"/>
      <c r="E505" s="62"/>
      <c r="F505" s="62"/>
      <c r="G505" s="62"/>
      <c r="H505" s="62"/>
      <c r="I505" s="62"/>
      <c r="J505" s="62"/>
      <c r="K505" s="62"/>
      <c r="L505" s="62"/>
      <c r="M505" s="62"/>
      <c r="N505" s="62"/>
      <c r="O505" s="62"/>
      <c r="P505" s="62"/>
      <c r="Q505" s="62"/>
      <c r="R505" s="62"/>
      <c r="S505" s="258"/>
      <c r="T505" s="248" t="str">
        <f t="shared" si="67"/>
        <v/>
      </c>
      <c r="U505" s="249" t="str">
        <f t="shared" si="68"/>
        <v/>
      </c>
      <c r="V505" s="294" t="str">
        <f t="shared" si="64"/>
        <v/>
      </c>
      <c r="W505" s="294" t="str">
        <f>IF(((E505="")+(F505="")),"",IF(VLOOKUP(F505,Mannschaften!$A$1:$B$54,2,FALSE)&lt;&gt;E505,"Reiter Mannschaften füllen",""))</f>
        <v/>
      </c>
      <c r="X505" s="248" t="str">
        <f>IF(ISBLANK(C505),"",IF((U505&gt;(LOOKUP(E505,WKNrListe,Übersicht!$O$7:$O$46)))+(U505&lt;(LOOKUP(E505,WKNrListe,Übersicht!$P$7:$P$46))),"JG falsch",""))</f>
        <v/>
      </c>
      <c r="Y505" s="255" t="str">
        <f>IF((A505="")*(B505=""),"",IF(ISERROR(MATCH(E505,WKNrListe,0)),"WK falsch",LOOKUP(E505,WKNrListe,Übersicht!$B$7:$B$46)))</f>
        <v/>
      </c>
      <c r="Z505" s="269" t="str">
        <f>IF(((AJ505=0)*(AH505&lt;&gt;"")*(AK505="-"))+((AJ505&lt;&gt;0)*(AH505&lt;&gt;"")*(AK505="-")),IF(AG505="X",Übersicht!$C$70,Übersicht!$C$69),"-")</f>
        <v>-</v>
      </c>
      <c r="AA505" s="252" t="str">
        <f>IF((($A505="")*($B505=""))+((MID($Y505,1,4)&lt;&gt;"Wahl")*(Deckblatt!$C$14='WK-Vorlagen'!$C$82))+(Deckblatt!$C$14&lt;&gt;'WK-Vorlagen'!$C$82),"",IF(ISERROR(MATCH(VALUE(MID(G505,1,2)),Schwierigkeitsstufen!$G$7:$G$19,0)),"Gerät falsch",LOOKUP(VALUE(MID(G505,1,2)),Schwierigkeitsstufen!$G$7:$G$19,Schwierigkeitsstufen!$H$7:$H$19)))</f>
        <v/>
      </c>
      <c r="AB505" s="250" t="str">
        <f>IF((($A505="")*($B505=""))+((MID($Y505,1,4)&lt;&gt;"Wahl")*(Deckblatt!$C$14='WK-Vorlagen'!$C$82))+(Deckblatt!$C$14&lt;&gt;'WK-Vorlagen'!$C$82),"",IF(ISERROR(MATCH(VALUE(MID(H505,1,2)),Schwierigkeitsstufen!$G$7:$G$19,0)),"Gerät falsch",LOOKUP(VALUE(MID(H505,1,2)),Schwierigkeitsstufen!$G$7:$G$19,Schwierigkeitsstufen!$H$7:$H$19)))</f>
        <v/>
      </c>
      <c r="AC505" s="250" t="str">
        <f>IF((($A505="")*($B505=""))+((MID($Y505,1,4)&lt;&gt;"Wahl")*(Deckblatt!$C$14='WK-Vorlagen'!$C$82))+(Deckblatt!$C$14&lt;&gt;'WK-Vorlagen'!$C$82),"",IF(ISERROR(MATCH(VALUE(MID(I505,1,2)),Schwierigkeitsstufen!$G$7:$G$19,0)),"Gerät falsch",LOOKUP(VALUE(MID(I505,1,2)),Schwierigkeitsstufen!$G$7:$G$19,Schwierigkeitsstufen!$H$7:$H$19)))</f>
        <v/>
      </c>
      <c r="AD505" s="251" t="str">
        <f>IF((($A505="")*($B505=""))+((MID($Y505,1,4)&lt;&gt;"Wahl")*(Deckblatt!$C$14='WK-Vorlagen'!$C$82))+(Deckblatt!$C$14&lt;&gt;'WK-Vorlagen'!$C$82),"",IF(ISERROR(MATCH(VALUE(MID(J505,1,2)),Schwierigkeitsstufen!$G$7:$G$19,0)),"Gerät falsch",LOOKUP(VALUE(MID(J505,1,2)),Schwierigkeitsstufen!$G$7:$G$19,Schwierigkeitsstufen!$H$7:$H$19)))</f>
        <v/>
      </c>
      <c r="AE505" s="211"/>
      <c r="AG505" s="221" t="str">
        <f t="shared" si="63"/>
        <v/>
      </c>
      <c r="AH505" s="222" t="str">
        <f t="shared" si="65"/>
        <v/>
      </c>
      <c r="AI505" s="220">
        <f t="shared" si="70"/>
        <v>4</v>
      </c>
      <c r="AJ505" s="222">
        <f t="shared" si="66"/>
        <v>0</v>
      </c>
      <c r="AK505" s="299" t="str">
        <f>IF(ISERROR(LOOKUP(E505,WKNrListe,Übersicht!$R$7:$R$46)),"-",LOOKUP(E505,WKNrListe,Übersicht!$R$7:$R$46))</f>
        <v>-</v>
      </c>
      <c r="AL505" s="299" t="str">
        <f t="shared" si="69"/>
        <v>-</v>
      </c>
      <c r="AM505" s="303"/>
      <c r="AN505" s="174" t="str">
        <f t="shared" si="71"/>
        <v>Leer</v>
      </c>
    </row>
    <row r="506" spans="1:40" s="174" customFormat="1" ht="15" customHeight="1">
      <c r="A506" s="63"/>
      <c r="B506" s="63"/>
      <c r="C506" s="84"/>
      <c r="D506" s="85"/>
      <c r="E506" s="62"/>
      <c r="F506" s="62"/>
      <c r="G506" s="62"/>
      <c r="H506" s="62"/>
      <c r="I506" s="62"/>
      <c r="J506" s="62"/>
      <c r="K506" s="62"/>
      <c r="L506" s="62"/>
      <c r="M506" s="62"/>
      <c r="N506" s="62"/>
      <c r="O506" s="62"/>
      <c r="P506" s="62"/>
      <c r="Q506" s="62"/>
      <c r="R506" s="62"/>
      <c r="S506" s="258"/>
      <c r="T506" s="248" t="str">
        <f t="shared" si="67"/>
        <v/>
      </c>
      <c r="U506" s="249" t="str">
        <f t="shared" si="68"/>
        <v/>
      </c>
      <c r="V506" s="294" t="str">
        <f t="shared" si="64"/>
        <v/>
      </c>
      <c r="W506" s="294" t="str">
        <f>IF(((E506="")+(F506="")),"",IF(VLOOKUP(F506,Mannschaften!$A$1:$B$54,2,FALSE)&lt;&gt;E506,"Reiter Mannschaften füllen",""))</f>
        <v/>
      </c>
      <c r="X506" s="248" t="str">
        <f>IF(ISBLANK(C506),"",IF((U506&gt;(LOOKUP(E506,WKNrListe,Übersicht!$O$7:$O$46)))+(U506&lt;(LOOKUP(E506,WKNrListe,Übersicht!$P$7:$P$46))),"JG falsch",""))</f>
        <v/>
      </c>
      <c r="Y506" s="255" t="str">
        <f>IF((A506="")*(B506=""),"",IF(ISERROR(MATCH(E506,WKNrListe,0)),"WK falsch",LOOKUP(E506,WKNrListe,Übersicht!$B$7:$B$46)))</f>
        <v/>
      </c>
      <c r="Z506" s="269" t="str">
        <f>IF(((AJ506=0)*(AH506&lt;&gt;"")*(AK506="-"))+((AJ506&lt;&gt;0)*(AH506&lt;&gt;"")*(AK506="-")),IF(AG506="X",Übersicht!$C$70,Übersicht!$C$69),"-")</f>
        <v>-</v>
      </c>
      <c r="AA506" s="252" t="str">
        <f>IF((($A506="")*($B506=""))+((MID($Y506,1,4)&lt;&gt;"Wahl")*(Deckblatt!$C$14='WK-Vorlagen'!$C$82))+(Deckblatt!$C$14&lt;&gt;'WK-Vorlagen'!$C$82),"",IF(ISERROR(MATCH(VALUE(MID(G506,1,2)),Schwierigkeitsstufen!$G$7:$G$19,0)),"Gerät falsch",LOOKUP(VALUE(MID(G506,1,2)),Schwierigkeitsstufen!$G$7:$G$19,Schwierigkeitsstufen!$H$7:$H$19)))</f>
        <v/>
      </c>
      <c r="AB506" s="250" t="str">
        <f>IF((($A506="")*($B506=""))+((MID($Y506,1,4)&lt;&gt;"Wahl")*(Deckblatt!$C$14='WK-Vorlagen'!$C$82))+(Deckblatt!$C$14&lt;&gt;'WK-Vorlagen'!$C$82),"",IF(ISERROR(MATCH(VALUE(MID(H506,1,2)),Schwierigkeitsstufen!$G$7:$G$19,0)),"Gerät falsch",LOOKUP(VALUE(MID(H506,1,2)),Schwierigkeitsstufen!$G$7:$G$19,Schwierigkeitsstufen!$H$7:$H$19)))</f>
        <v/>
      </c>
      <c r="AC506" s="250" t="str">
        <f>IF((($A506="")*($B506=""))+((MID($Y506,1,4)&lt;&gt;"Wahl")*(Deckblatt!$C$14='WK-Vorlagen'!$C$82))+(Deckblatt!$C$14&lt;&gt;'WK-Vorlagen'!$C$82),"",IF(ISERROR(MATCH(VALUE(MID(I506,1,2)),Schwierigkeitsstufen!$G$7:$G$19,0)),"Gerät falsch",LOOKUP(VALUE(MID(I506,1,2)),Schwierigkeitsstufen!$G$7:$G$19,Schwierigkeitsstufen!$H$7:$H$19)))</f>
        <v/>
      </c>
      <c r="AD506" s="251" t="str">
        <f>IF((($A506="")*($B506=""))+((MID($Y506,1,4)&lt;&gt;"Wahl")*(Deckblatt!$C$14='WK-Vorlagen'!$C$82))+(Deckblatt!$C$14&lt;&gt;'WK-Vorlagen'!$C$82),"",IF(ISERROR(MATCH(VALUE(MID(J506,1,2)),Schwierigkeitsstufen!$G$7:$G$19,0)),"Gerät falsch",LOOKUP(VALUE(MID(J506,1,2)),Schwierigkeitsstufen!$G$7:$G$19,Schwierigkeitsstufen!$H$7:$H$19)))</f>
        <v/>
      </c>
      <c r="AE506" s="211"/>
      <c r="AG506" s="221" t="str">
        <f t="shared" si="63"/>
        <v/>
      </c>
      <c r="AH506" s="222" t="str">
        <f t="shared" si="65"/>
        <v/>
      </c>
      <c r="AI506" s="220">
        <f t="shared" si="70"/>
        <v>4</v>
      </c>
      <c r="AJ506" s="222">
        <f t="shared" si="66"/>
        <v>0</v>
      </c>
      <c r="AK506" s="299" t="str">
        <f>IF(ISERROR(LOOKUP(E506,WKNrListe,Übersicht!$R$7:$R$46)),"-",LOOKUP(E506,WKNrListe,Übersicht!$R$7:$R$46))</f>
        <v>-</v>
      </c>
      <c r="AL506" s="299" t="str">
        <f t="shared" si="69"/>
        <v>-</v>
      </c>
      <c r="AM506" s="303"/>
      <c r="AN506" s="174" t="str">
        <f t="shared" si="71"/>
        <v>Leer</v>
      </c>
    </row>
    <row r="507" spans="1:40" s="174" customFormat="1" ht="15" customHeight="1">
      <c r="A507" s="63"/>
      <c r="B507" s="63"/>
      <c r="C507" s="84"/>
      <c r="D507" s="85"/>
      <c r="E507" s="62"/>
      <c r="F507" s="62"/>
      <c r="G507" s="62"/>
      <c r="H507" s="62"/>
      <c r="I507" s="62"/>
      <c r="J507" s="62"/>
      <c r="K507" s="62"/>
      <c r="L507" s="62"/>
      <c r="M507" s="62"/>
      <c r="N507" s="62"/>
      <c r="O507" s="62"/>
      <c r="P507" s="62"/>
      <c r="Q507" s="62"/>
      <c r="R507" s="62"/>
      <c r="S507" s="258"/>
      <c r="T507" s="248" t="str">
        <f t="shared" si="67"/>
        <v/>
      </c>
      <c r="U507" s="249" t="str">
        <f t="shared" si="68"/>
        <v/>
      </c>
      <c r="V507" s="294" t="str">
        <f t="shared" si="64"/>
        <v/>
      </c>
      <c r="W507" s="294" t="str">
        <f>IF(((E507="")+(F507="")),"",IF(VLOOKUP(F507,Mannschaften!$A$1:$B$54,2,FALSE)&lt;&gt;E507,"Reiter Mannschaften füllen",""))</f>
        <v/>
      </c>
      <c r="X507" s="248" t="str">
        <f>IF(ISBLANK(C507),"",IF((U507&gt;(LOOKUP(E507,WKNrListe,Übersicht!$O$7:$O$46)))+(U507&lt;(LOOKUP(E507,WKNrListe,Übersicht!$P$7:$P$46))),"JG falsch",""))</f>
        <v/>
      </c>
      <c r="Y507" s="255" t="str">
        <f>IF((A507="")*(B507=""),"",IF(ISERROR(MATCH(E507,WKNrListe,0)),"WK falsch",LOOKUP(E507,WKNrListe,Übersicht!$B$7:$B$46)))</f>
        <v/>
      </c>
      <c r="Z507" s="269" t="str">
        <f>IF(((AJ507=0)*(AH507&lt;&gt;"")*(AK507="-"))+((AJ507&lt;&gt;0)*(AH507&lt;&gt;"")*(AK507="-")),IF(AG507="X",Übersicht!$C$70,Übersicht!$C$69),"-")</f>
        <v>-</v>
      </c>
      <c r="AA507" s="252" t="str">
        <f>IF((($A507="")*($B507=""))+((MID($Y507,1,4)&lt;&gt;"Wahl")*(Deckblatt!$C$14='WK-Vorlagen'!$C$82))+(Deckblatt!$C$14&lt;&gt;'WK-Vorlagen'!$C$82),"",IF(ISERROR(MATCH(VALUE(MID(G507,1,2)),Schwierigkeitsstufen!$G$7:$G$19,0)),"Gerät falsch",LOOKUP(VALUE(MID(G507,1,2)),Schwierigkeitsstufen!$G$7:$G$19,Schwierigkeitsstufen!$H$7:$H$19)))</f>
        <v/>
      </c>
      <c r="AB507" s="250" t="str">
        <f>IF((($A507="")*($B507=""))+((MID($Y507,1,4)&lt;&gt;"Wahl")*(Deckblatt!$C$14='WK-Vorlagen'!$C$82))+(Deckblatt!$C$14&lt;&gt;'WK-Vorlagen'!$C$82),"",IF(ISERROR(MATCH(VALUE(MID(H507,1,2)),Schwierigkeitsstufen!$G$7:$G$19,0)),"Gerät falsch",LOOKUP(VALUE(MID(H507,1,2)),Schwierigkeitsstufen!$G$7:$G$19,Schwierigkeitsstufen!$H$7:$H$19)))</f>
        <v/>
      </c>
      <c r="AC507" s="250" t="str">
        <f>IF((($A507="")*($B507=""))+((MID($Y507,1,4)&lt;&gt;"Wahl")*(Deckblatt!$C$14='WK-Vorlagen'!$C$82))+(Deckblatt!$C$14&lt;&gt;'WK-Vorlagen'!$C$82),"",IF(ISERROR(MATCH(VALUE(MID(I507,1,2)),Schwierigkeitsstufen!$G$7:$G$19,0)),"Gerät falsch",LOOKUP(VALUE(MID(I507,1,2)),Schwierigkeitsstufen!$G$7:$G$19,Schwierigkeitsstufen!$H$7:$H$19)))</f>
        <v/>
      </c>
      <c r="AD507" s="251" t="str">
        <f>IF((($A507="")*($B507=""))+((MID($Y507,1,4)&lt;&gt;"Wahl")*(Deckblatt!$C$14='WK-Vorlagen'!$C$82))+(Deckblatt!$C$14&lt;&gt;'WK-Vorlagen'!$C$82),"",IF(ISERROR(MATCH(VALUE(MID(J507,1,2)),Schwierigkeitsstufen!$G$7:$G$19,0)),"Gerät falsch",LOOKUP(VALUE(MID(J507,1,2)),Schwierigkeitsstufen!$G$7:$G$19,Schwierigkeitsstufen!$H$7:$H$19)))</f>
        <v/>
      </c>
      <c r="AE507" s="211"/>
      <c r="AG507" s="221" t="str">
        <f t="shared" si="63"/>
        <v/>
      </c>
      <c r="AH507" s="222" t="str">
        <f t="shared" si="65"/>
        <v/>
      </c>
      <c r="AI507" s="220">
        <f t="shared" si="70"/>
        <v>4</v>
      </c>
      <c r="AJ507" s="222">
        <f t="shared" si="66"/>
        <v>0</v>
      </c>
      <c r="AK507" s="299" t="str">
        <f>IF(ISERROR(LOOKUP(E507,WKNrListe,Übersicht!$R$7:$R$46)),"-",LOOKUP(E507,WKNrListe,Übersicht!$R$7:$R$46))</f>
        <v>-</v>
      </c>
      <c r="AL507" s="299" t="str">
        <f t="shared" si="69"/>
        <v>-</v>
      </c>
      <c r="AM507" s="303"/>
      <c r="AN507" s="174" t="str">
        <f t="shared" si="71"/>
        <v>Leer</v>
      </c>
    </row>
    <row r="508" spans="1:40" s="174" customFormat="1" ht="15" customHeight="1">
      <c r="A508" s="63"/>
      <c r="B508" s="63"/>
      <c r="C508" s="84"/>
      <c r="D508" s="85"/>
      <c r="E508" s="62"/>
      <c r="F508" s="62"/>
      <c r="G508" s="62"/>
      <c r="H508" s="62"/>
      <c r="I508" s="62"/>
      <c r="J508" s="62"/>
      <c r="K508" s="62"/>
      <c r="L508" s="62"/>
      <c r="M508" s="62"/>
      <c r="N508" s="62"/>
      <c r="O508" s="62"/>
      <c r="P508" s="62"/>
      <c r="Q508" s="62"/>
      <c r="R508" s="62"/>
      <c r="S508" s="258"/>
      <c r="T508" s="248" t="str">
        <f t="shared" si="67"/>
        <v/>
      </c>
      <c r="U508" s="249" t="str">
        <f t="shared" si="68"/>
        <v/>
      </c>
      <c r="V508" s="294" t="str">
        <f t="shared" si="64"/>
        <v/>
      </c>
      <c r="W508" s="294" t="str">
        <f>IF(((E508="")+(F508="")),"",IF(VLOOKUP(F508,Mannschaften!$A$1:$B$54,2,FALSE)&lt;&gt;E508,"Reiter Mannschaften füllen",""))</f>
        <v/>
      </c>
      <c r="X508" s="248" t="str">
        <f>IF(ISBLANK(C508),"",IF((U508&gt;(LOOKUP(E508,WKNrListe,Übersicht!$O$7:$O$46)))+(U508&lt;(LOOKUP(E508,WKNrListe,Übersicht!$P$7:$P$46))),"JG falsch",""))</f>
        <v/>
      </c>
      <c r="Y508" s="255" t="str">
        <f>IF((A508="")*(B508=""),"",IF(ISERROR(MATCH(E508,WKNrListe,0)),"WK falsch",LOOKUP(E508,WKNrListe,Übersicht!$B$7:$B$46)))</f>
        <v/>
      </c>
      <c r="Z508" s="269" t="str">
        <f>IF(((AJ508=0)*(AH508&lt;&gt;"")*(AK508="-"))+((AJ508&lt;&gt;0)*(AH508&lt;&gt;"")*(AK508="-")),IF(AG508="X",Übersicht!$C$70,Übersicht!$C$69),"-")</f>
        <v>-</v>
      </c>
      <c r="AA508" s="252" t="str">
        <f>IF((($A508="")*($B508=""))+((MID($Y508,1,4)&lt;&gt;"Wahl")*(Deckblatt!$C$14='WK-Vorlagen'!$C$82))+(Deckblatt!$C$14&lt;&gt;'WK-Vorlagen'!$C$82),"",IF(ISERROR(MATCH(VALUE(MID(G508,1,2)),Schwierigkeitsstufen!$G$7:$G$19,0)),"Gerät falsch",LOOKUP(VALUE(MID(G508,1,2)),Schwierigkeitsstufen!$G$7:$G$19,Schwierigkeitsstufen!$H$7:$H$19)))</f>
        <v/>
      </c>
      <c r="AB508" s="250" t="str">
        <f>IF((($A508="")*($B508=""))+((MID($Y508,1,4)&lt;&gt;"Wahl")*(Deckblatt!$C$14='WK-Vorlagen'!$C$82))+(Deckblatt!$C$14&lt;&gt;'WK-Vorlagen'!$C$82),"",IF(ISERROR(MATCH(VALUE(MID(H508,1,2)),Schwierigkeitsstufen!$G$7:$G$19,0)),"Gerät falsch",LOOKUP(VALUE(MID(H508,1,2)),Schwierigkeitsstufen!$G$7:$G$19,Schwierigkeitsstufen!$H$7:$H$19)))</f>
        <v/>
      </c>
      <c r="AC508" s="250" t="str">
        <f>IF((($A508="")*($B508=""))+((MID($Y508,1,4)&lt;&gt;"Wahl")*(Deckblatt!$C$14='WK-Vorlagen'!$C$82))+(Deckblatt!$C$14&lt;&gt;'WK-Vorlagen'!$C$82),"",IF(ISERROR(MATCH(VALUE(MID(I508,1,2)),Schwierigkeitsstufen!$G$7:$G$19,0)),"Gerät falsch",LOOKUP(VALUE(MID(I508,1,2)),Schwierigkeitsstufen!$G$7:$G$19,Schwierigkeitsstufen!$H$7:$H$19)))</f>
        <v/>
      </c>
      <c r="AD508" s="251" t="str">
        <f>IF((($A508="")*($B508=""))+((MID($Y508,1,4)&lt;&gt;"Wahl")*(Deckblatt!$C$14='WK-Vorlagen'!$C$82))+(Deckblatt!$C$14&lt;&gt;'WK-Vorlagen'!$C$82),"",IF(ISERROR(MATCH(VALUE(MID(J508,1,2)),Schwierigkeitsstufen!$G$7:$G$19,0)),"Gerät falsch",LOOKUP(VALUE(MID(J508,1,2)),Schwierigkeitsstufen!$G$7:$G$19,Schwierigkeitsstufen!$H$7:$H$19)))</f>
        <v/>
      </c>
      <c r="AE508" s="211"/>
      <c r="AG508" s="221" t="str">
        <f t="shared" si="63"/>
        <v/>
      </c>
      <c r="AH508" s="222" t="str">
        <f t="shared" si="65"/>
        <v/>
      </c>
      <c r="AI508" s="220">
        <f t="shared" si="70"/>
        <v>4</v>
      </c>
      <c r="AJ508" s="222">
        <f t="shared" si="66"/>
        <v>0</v>
      </c>
      <c r="AK508" s="299" t="str">
        <f>IF(ISERROR(LOOKUP(E508,WKNrListe,Übersicht!$R$7:$R$46)),"-",LOOKUP(E508,WKNrListe,Übersicht!$R$7:$R$46))</f>
        <v>-</v>
      </c>
      <c r="AL508" s="299" t="str">
        <f t="shared" si="69"/>
        <v>-</v>
      </c>
      <c r="AM508" s="303"/>
      <c r="AN508" s="174" t="str">
        <f t="shared" si="71"/>
        <v>Leer</v>
      </c>
    </row>
    <row r="509" spans="1:40" s="174" customFormat="1" ht="15" customHeight="1">
      <c r="A509" s="63"/>
      <c r="B509" s="63"/>
      <c r="C509" s="84"/>
      <c r="D509" s="85"/>
      <c r="E509" s="62"/>
      <c r="F509" s="62"/>
      <c r="G509" s="62"/>
      <c r="H509" s="62"/>
      <c r="I509" s="62"/>
      <c r="J509" s="62"/>
      <c r="K509" s="62"/>
      <c r="L509" s="62"/>
      <c r="M509" s="62"/>
      <c r="N509" s="62"/>
      <c r="O509" s="62"/>
      <c r="P509" s="62"/>
      <c r="Q509" s="62"/>
      <c r="R509" s="62"/>
      <c r="S509" s="258"/>
      <c r="T509" s="248" t="str">
        <f t="shared" si="67"/>
        <v/>
      </c>
      <c r="U509" s="249" t="str">
        <f t="shared" si="68"/>
        <v/>
      </c>
      <c r="V509" s="294" t="str">
        <f t="shared" si="64"/>
        <v/>
      </c>
      <c r="W509" s="294" t="str">
        <f>IF(((E509="")+(F509="")),"",IF(VLOOKUP(F509,Mannschaften!$A$1:$B$54,2,FALSE)&lt;&gt;E509,"Reiter Mannschaften füllen",""))</f>
        <v/>
      </c>
      <c r="X509" s="248" t="str">
        <f>IF(ISBLANK(C509),"",IF((U509&gt;(LOOKUP(E509,WKNrListe,Übersicht!$O$7:$O$46)))+(U509&lt;(LOOKUP(E509,WKNrListe,Übersicht!$P$7:$P$46))),"JG falsch",""))</f>
        <v/>
      </c>
      <c r="Y509" s="255" t="str">
        <f>IF((A509="")*(B509=""),"",IF(ISERROR(MATCH(E509,WKNrListe,0)),"WK falsch",LOOKUP(E509,WKNrListe,Übersicht!$B$7:$B$46)))</f>
        <v/>
      </c>
      <c r="Z509" s="269" t="str">
        <f>IF(((AJ509=0)*(AH509&lt;&gt;"")*(AK509="-"))+((AJ509&lt;&gt;0)*(AH509&lt;&gt;"")*(AK509="-")),IF(AG509="X",Übersicht!$C$70,Übersicht!$C$69),"-")</f>
        <v>-</v>
      </c>
      <c r="AA509" s="252" t="str">
        <f>IF((($A509="")*($B509=""))+((MID($Y509,1,4)&lt;&gt;"Wahl")*(Deckblatt!$C$14='WK-Vorlagen'!$C$82))+(Deckblatt!$C$14&lt;&gt;'WK-Vorlagen'!$C$82),"",IF(ISERROR(MATCH(VALUE(MID(G509,1,2)),Schwierigkeitsstufen!$G$7:$G$19,0)),"Gerät falsch",LOOKUP(VALUE(MID(G509,1,2)),Schwierigkeitsstufen!$G$7:$G$19,Schwierigkeitsstufen!$H$7:$H$19)))</f>
        <v/>
      </c>
      <c r="AB509" s="250" t="str">
        <f>IF((($A509="")*($B509=""))+((MID($Y509,1,4)&lt;&gt;"Wahl")*(Deckblatt!$C$14='WK-Vorlagen'!$C$82))+(Deckblatt!$C$14&lt;&gt;'WK-Vorlagen'!$C$82),"",IF(ISERROR(MATCH(VALUE(MID(H509,1,2)),Schwierigkeitsstufen!$G$7:$G$19,0)),"Gerät falsch",LOOKUP(VALUE(MID(H509,1,2)),Schwierigkeitsstufen!$G$7:$G$19,Schwierigkeitsstufen!$H$7:$H$19)))</f>
        <v/>
      </c>
      <c r="AC509" s="250" t="str">
        <f>IF((($A509="")*($B509=""))+((MID($Y509,1,4)&lt;&gt;"Wahl")*(Deckblatt!$C$14='WK-Vorlagen'!$C$82))+(Deckblatt!$C$14&lt;&gt;'WK-Vorlagen'!$C$82),"",IF(ISERROR(MATCH(VALUE(MID(I509,1,2)),Schwierigkeitsstufen!$G$7:$G$19,0)),"Gerät falsch",LOOKUP(VALUE(MID(I509,1,2)),Schwierigkeitsstufen!$G$7:$G$19,Schwierigkeitsstufen!$H$7:$H$19)))</f>
        <v/>
      </c>
      <c r="AD509" s="251" t="str">
        <f>IF((($A509="")*($B509=""))+((MID($Y509,1,4)&lt;&gt;"Wahl")*(Deckblatt!$C$14='WK-Vorlagen'!$C$82))+(Deckblatt!$C$14&lt;&gt;'WK-Vorlagen'!$C$82),"",IF(ISERROR(MATCH(VALUE(MID(J509,1,2)),Schwierigkeitsstufen!$G$7:$G$19,0)),"Gerät falsch",LOOKUP(VALUE(MID(J509,1,2)),Schwierigkeitsstufen!$G$7:$G$19,Schwierigkeitsstufen!$H$7:$H$19)))</f>
        <v/>
      </c>
      <c r="AE509" s="211"/>
      <c r="AG509" s="221" t="str">
        <f t="shared" si="63"/>
        <v/>
      </c>
      <c r="AH509" s="222" t="str">
        <f t="shared" si="65"/>
        <v/>
      </c>
      <c r="AI509" s="220">
        <f t="shared" si="70"/>
        <v>4</v>
      </c>
      <c r="AJ509" s="222">
        <f t="shared" si="66"/>
        <v>0</v>
      </c>
      <c r="AK509" s="299" t="str">
        <f>IF(ISERROR(LOOKUP(E509,WKNrListe,Übersicht!$R$7:$R$46)),"-",LOOKUP(E509,WKNrListe,Übersicht!$R$7:$R$46))</f>
        <v>-</v>
      </c>
      <c r="AL509" s="299" t="str">
        <f t="shared" si="69"/>
        <v>-</v>
      </c>
      <c r="AM509" s="303"/>
      <c r="AN509" s="174" t="str">
        <f t="shared" si="71"/>
        <v>Leer</v>
      </c>
    </row>
    <row r="510" spans="1:40" s="174" customFormat="1" ht="15" customHeight="1">
      <c r="A510" s="63"/>
      <c r="B510" s="63"/>
      <c r="C510" s="84"/>
      <c r="D510" s="85"/>
      <c r="E510" s="62"/>
      <c r="F510" s="62"/>
      <c r="G510" s="62"/>
      <c r="H510" s="62"/>
      <c r="I510" s="62"/>
      <c r="J510" s="62"/>
      <c r="K510" s="62"/>
      <c r="L510" s="62"/>
      <c r="M510" s="62"/>
      <c r="N510" s="62"/>
      <c r="O510" s="62"/>
      <c r="P510" s="62"/>
      <c r="Q510" s="62"/>
      <c r="R510" s="62"/>
      <c r="S510" s="258"/>
      <c r="T510" s="248" t="str">
        <f t="shared" si="67"/>
        <v/>
      </c>
      <c r="U510" s="249" t="str">
        <f t="shared" si="68"/>
        <v/>
      </c>
      <c r="V510" s="294" t="str">
        <f t="shared" si="64"/>
        <v/>
      </c>
      <c r="W510" s="294" t="str">
        <f>IF(((E510="")+(F510="")),"",IF(VLOOKUP(F510,Mannschaften!$A$1:$B$54,2,FALSE)&lt;&gt;E510,"Reiter Mannschaften füllen",""))</f>
        <v/>
      </c>
      <c r="X510" s="248" t="str">
        <f>IF(ISBLANK(C510),"",IF((U510&gt;(LOOKUP(E510,WKNrListe,Übersicht!$O$7:$O$46)))+(U510&lt;(LOOKUP(E510,WKNrListe,Übersicht!$P$7:$P$46))),"JG falsch",""))</f>
        <v/>
      </c>
      <c r="Y510" s="255" t="str">
        <f>IF((A510="")*(B510=""),"",IF(ISERROR(MATCH(E510,WKNrListe,0)),"WK falsch",LOOKUP(E510,WKNrListe,Übersicht!$B$7:$B$46)))</f>
        <v/>
      </c>
      <c r="Z510" s="269" t="str">
        <f>IF(((AJ510=0)*(AH510&lt;&gt;"")*(AK510="-"))+((AJ510&lt;&gt;0)*(AH510&lt;&gt;"")*(AK510="-")),IF(AG510="X",Übersicht!$C$70,Übersicht!$C$69),"-")</f>
        <v>-</v>
      </c>
      <c r="AA510" s="252" t="str">
        <f>IF((($A510="")*($B510=""))+((MID($Y510,1,4)&lt;&gt;"Wahl")*(Deckblatt!$C$14='WK-Vorlagen'!$C$82))+(Deckblatt!$C$14&lt;&gt;'WK-Vorlagen'!$C$82),"",IF(ISERROR(MATCH(VALUE(MID(G510,1,2)),Schwierigkeitsstufen!$G$7:$G$19,0)),"Gerät falsch",LOOKUP(VALUE(MID(G510,1,2)),Schwierigkeitsstufen!$G$7:$G$19,Schwierigkeitsstufen!$H$7:$H$19)))</f>
        <v/>
      </c>
      <c r="AB510" s="250" t="str">
        <f>IF((($A510="")*($B510=""))+((MID($Y510,1,4)&lt;&gt;"Wahl")*(Deckblatt!$C$14='WK-Vorlagen'!$C$82))+(Deckblatt!$C$14&lt;&gt;'WK-Vorlagen'!$C$82),"",IF(ISERROR(MATCH(VALUE(MID(H510,1,2)),Schwierigkeitsstufen!$G$7:$G$19,0)),"Gerät falsch",LOOKUP(VALUE(MID(H510,1,2)),Schwierigkeitsstufen!$G$7:$G$19,Schwierigkeitsstufen!$H$7:$H$19)))</f>
        <v/>
      </c>
      <c r="AC510" s="250" t="str">
        <f>IF((($A510="")*($B510=""))+((MID($Y510,1,4)&lt;&gt;"Wahl")*(Deckblatt!$C$14='WK-Vorlagen'!$C$82))+(Deckblatt!$C$14&lt;&gt;'WK-Vorlagen'!$C$82),"",IF(ISERROR(MATCH(VALUE(MID(I510,1,2)),Schwierigkeitsstufen!$G$7:$G$19,0)),"Gerät falsch",LOOKUP(VALUE(MID(I510,1,2)),Schwierigkeitsstufen!$G$7:$G$19,Schwierigkeitsstufen!$H$7:$H$19)))</f>
        <v/>
      </c>
      <c r="AD510" s="251" t="str">
        <f>IF((($A510="")*($B510=""))+((MID($Y510,1,4)&lt;&gt;"Wahl")*(Deckblatt!$C$14='WK-Vorlagen'!$C$82))+(Deckblatt!$C$14&lt;&gt;'WK-Vorlagen'!$C$82),"",IF(ISERROR(MATCH(VALUE(MID(J510,1,2)),Schwierigkeitsstufen!$G$7:$G$19,0)),"Gerät falsch",LOOKUP(VALUE(MID(J510,1,2)),Schwierigkeitsstufen!$G$7:$G$19,Schwierigkeitsstufen!$H$7:$H$19)))</f>
        <v/>
      </c>
      <c r="AE510" s="211"/>
      <c r="AG510" s="221" t="str">
        <f t="shared" si="63"/>
        <v/>
      </c>
      <c r="AH510" s="222" t="str">
        <f t="shared" si="65"/>
        <v/>
      </c>
      <c r="AI510" s="220">
        <f t="shared" si="70"/>
        <v>4</v>
      </c>
      <c r="AJ510" s="222">
        <f t="shared" si="66"/>
        <v>0</v>
      </c>
      <c r="AK510" s="299" t="str">
        <f>IF(ISERROR(LOOKUP(E510,WKNrListe,Übersicht!$R$7:$R$46)),"-",LOOKUP(E510,WKNrListe,Übersicht!$R$7:$R$46))</f>
        <v>-</v>
      </c>
      <c r="AL510" s="299" t="str">
        <f t="shared" si="69"/>
        <v>-</v>
      </c>
      <c r="AM510" s="303"/>
      <c r="AN510" s="174" t="str">
        <f t="shared" si="71"/>
        <v>Leer</v>
      </c>
    </row>
    <row r="511" spans="1:40" s="174" customFormat="1" ht="15" customHeight="1">
      <c r="A511" s="63"/>
      <c r="B511" s="63"/>
      <c r="C511" s="84"/>
      <c r="D511" s="85"/>
      <c r="E511" s="62"/>
      <c r="F511" s="62"/>
      <c r="G511" s="62"/>
      <c r="H511" s="62"/>
      <c r="I511" s="62"/>
      <c r="J511" s="62"/>
      <c r="K511" s="62"/>
      <c r="L511" s="62"/>
      <c r="M511" s="62"/>
      <c r="N511" s="62"/>
      <c r="O511" s="62"/>
      <c r="P511" s="62"/>
      <c r="Q511" s="62"/>
      <c r="R511" s="62"/>
      <c r="S511" s="258"/>
      <c r="T511" s="248" t="str">
        <f t="shared" si="67"/>
        <v/>
      </c>
      <c r="U511" s="249" t="str">
        <f t="shared" si="68"/>
        <v/>
      </c>
      <c r="V511" s="294" t="str">
        <f t="shared" si="64"/>
        <v/>
      </c>
      <c r="W511" s="294" t="str">
        <f>IF(((E511="")+(F511="")),"",IF(VLOOKUP(F511,Mannschaften!$A$1:$B$54,2,FALSE)&lt;&gt;E511,"Reiter Mannschaften füllen",""))</f>
        <v/>
      </c>
      <c r="X511" s="248" t="str">
        <f>IF(ISBLANK(C511),"",IF((U511&gt;(LOOKUP(E511,WKNrListe,Übersicht!$O$7:$O$46)))+(U511&lt;(LOOKUP(E511,WKNrListe,Übersicht!$P$7:$P$46))),"JG falsch",""))</f>
        <v/>
      </c>
      <c r="Y511" s="255" t="str">
        <f>IF((A511="")*(B511=""),"",IF(ISERROR(MATCH(E511,WKNrListe,0)),"WK falsch",LOOKUP(E511,WKNrListe,Übersicht!$B$7:$B$46)))</f>
        <v/>
      </c>
      <c r="Z511" s="269" t="str">
        <f>IF(((AJ511=0)*(AH511&lt;&gt;"")*(AK511="-"))+((AJ511&lt;&gt;0)*(AH511&lt;&gt;"")*(AK511="-")),IF(AG511="X",Übersicht!$C$70,Übersicht!$C$69),"-")</f>
        <v>-</v>
      </c>
      <c r="AA511" s="252" t="str">
        <f>IF((($A511="")*($B511=""))+((MID($Y511,1,4)&lt;&gt;"Wahl")*(Deckblatt!$C$14='WK-Vorlagen'!$C$82))+(Deckblatt!$C$14&lt;&gt;'WK-Vorlagen'!$C$82),"",IF(ISERROR(MATCH(VALUE(MID(G511,1,2)),Schwierigkeitsstufen!$G$7:$G$19,0)),"Gerät falsch",LOOKUP(VALUE(MID(G511,1,2)),Schwierigkeitsstufen!$G$7:$G$19,Schwierigkeitsstufen!$H$7:$H$19)))</f>
        <v/>
      </c>
      <c r="AB511" s="250" t="str">
        <f>IF((($A511="")*($B511=""))+((MID($Y511,1,4)&lt;&gt;"Wahl")*(Deckblatt!$C$14='WK-Vorlagen'!$C$82))+(Deckblatt!$C$14&lt;&gt;'WK-Vorlagen'!$C$82),"",IF(ISERROR(MATCH(VALUE(MID(H511,1,2)),Schwierigkeitsstufen!$G$7:$G$19,0)),"Gerät falsch",LOOKUP(VALUE(MID(H511,1,2)),Schwierigkeitsstufen!$G$7:$G$19,Schwierigkeitsstufen!$H$7:$H$19)))</f>
        <v/>
      </c>
      <c r="AC511" s="250" t="str">
        <f>IF((($A511="")*($B511=""))+((MID($Y511,1,4)&lt;&gt;"Wahl")*(Deckblatt!$C$14='WK-Vorlagen'!$C$82))+(Deckblatt!$C$14&lt;&gt;'WK-Vorlagen'!$C$82),"",IF(ISERROR(MATCH(VALUE(MID(I511,1,2)),Schwierigkeitsstufen!$G$7:$G$19,0)),"Gerät falsch",LOOKUP(VALUE(MID(I511,1,2)),Schwierigkeitsstufen!$G$7:$G$19,Schwierigkeitsstufen!$H$7:$H$19)))</f>
        <v/>
      </c>
      <c r="AD511" s="251" t="str">
        <f>IF((($A511="")*($B511=""))+((MID($Y511,1,4)&lt;&gt;"Wahl")*(Deckblatt!$C$14='WK-Vorlagen'!$C$82))+(Deckblatt!$C$14&lt;&gt;'WK-Vorlagen'!$C$82),"",IF(ISERROR(MATCH(VALUE(MID(J511,1,2)),Schwierigkeitsstufen!$G$7:$G$19,0)),"Gerät falsch",LOOKUP(VALUE(MID(J511,1,2)),Schwierigkeitsstufen!$G$7:$G$19,Schwierigkeitsstufen!$H$7:$H$19)))</f>
        <v/>
      </c>
      <c r="AE511" s="211"/>
      <c r="AG511" s="221" t="str">
        <f t="shared" si="63"/>
        <v/>
      </c>
      <c r="AH511" s="222" t="str">
        <f t="shared" si="65"/>
        <v/>
      </c>
      <c r="AI511" s="220">
        <f t="shared" si="70"/>
        <v>4</v>
      </c>
      <c r="AJ511" s="222">
        <f t="shared" si="66"/>
        <v>0</v>
      </c>
      <c r="AK511" s="299" t="str">
        <f>IF(ISERROR(LOOKUP(E511,WKNrListe,Übersicht!$R$7:$R$46)),"-",LOOKUP(E511,WKNrListe,Übersicht!$R$7:$R$46))</f>
        <v>-</v>
      </c>
      <c r="AL511" s="299" t="str">
        <f t="shared" si="69"/>
        <v>-</v>
      </c>
      <c r="AM511" s="303"/>
      <c r="AN511" s="174" t="str">
        <f t="shared" si="71"/>
        <v>Leer</v>
      </c>
    </row>
    <row r="512" spans="1:40" s="174" customFormat="1" ht="15" customHeight="1">
      <c r="A512" s="63"/>
      <c r="B512" s="63"/>
      <c r="C512" s="84"/>
      <c r="D512" s="85"/>
      <c r="E512" s="62"/>
      <c r="F512" s="62"/>
      <c r="G512" s="62"/>
      <c r="H512" s="62"/>
      <c r="I512" s="62"/>
      <c r="J512" s="62"/>
      <c r="K512" s="62"/>
      <c r="L512" s="62"/>
      <c r="M512" s="62"/>
      <c r="N512" s="62"/>
      <c r="O512" s="62"/>
      <c r="P512" s="62"/>
      <c r="Q512" s="62"/>
      <c r="R512" s="62"/>
      <c r="S512" s="258"/>
      <c r="T512" s="248" t="str">
        <f t="shared" si="67"/>
        <v/>
      </c>
      <c r="U512" s="249" t="str">
        <f t="shared" si="68"/>
        <v/>
      </c>
      <c r="V512" s="294" t="str">
        <f t="shared" si="64"/>
        <v/>
      </c>
      <c r="W512" s="294" t="str">
        <f>IF(((E512="")+(F512="")),"",IF(VLOOKUP(F512,Mannschaften!$A$1:$B$54,2,FALSE)&lt;&gt;E512,"Reiter Mannschaften füllen",""))</f>
        <v/>
      </c>
      <c r="X512" s="248" t="str">
        <f>IF(ISBLANK(C512),"",IF((U512&gt;(LOOKUP(E512,WKNrListe,Übersicht!$O$7:$O$46)))+(U512&lt;(LOOKUP(E512,WKNrListe,Übersicht!$P$7:$P$46))),"JG falsch",""))</f>
        <v/>
      </c>
      <c r="Y512" s="255" t="str">
        <f>IF((A512="")*(B512=""),"",IF(ISERROR(MATCH(E512,WKNrListe,0)),"WK falsch",LOOKUP(E512,WKNrListe,Übersicht!$B$7:$B$46)))</f>
        <v/>
      </c>
      <c r="Z512" s="269" t="str">
        <f>IF(((AJ512=0)*(AH512&lt;&gt;"")*(AK512="-"))+((AJ512&lt;&gt;0)*(AH512&lt;&gt;"")*(AK512="-")),IF(AG512="X",Übersicht!$C$70,Übersicht!$C$69),"-")</f>
        <v>-</v>
      </c>
      <c r="AA512" s="252" t="str">
        <f>IF((($A512="")*($B512=""))+((MID($Y512,1,4)&lt;&gt;"Wahl")*(Deckblatt!$C$14='WK-Vorlagen'!$C$82))+(Deckblatt!$C$14&lt;&gt;'WK-Vorlagen'!$C$82),"",IF(ISERROR(MATCH(VALUE(MID(G512,1,2)),Schwierigkeitsstufen!$G$7:$G$19,0)),"Gerät falsch",LOOKUP(VALUE(MID(G512,1,2)),Schwierigkeitsstufen!$G$7:$G$19,Schwierigkeitsstufen!$H$7:$H$19)))</f>
        <v/>
      </c>
      <c r="AB512" s="250" t="str">
        <f>IF((($A512="")*($B512=""))+((MID($Y512,1,4)&lt;&gt;"Wahl")*(Deckblatt!$C$14='WK-Vorlagen'!$C$82))+(Deckblatt!$C$14&lt;&gt;'WK-Vorlagen'!$C$82),"",IF(ISERROR(MATCH(VALUE(MID(H512,1,2)),Schwierigkeitsstufen!$G$7:$G$19,0)),"Gerät falsch",LOOKUP(VALUE(MID(H512,1,2)),Schwierigkeitsstufen!$G$7:$G$19,Schwierigkeitsstufen!$H$7:$H$19)))</f>
        <v/>
      </c>
      <c r="AC512" s="250" t="str">
        <f>IF((($A512="")*($B512=""))+((MID($Y512,1,4)&lt;&gt;"Wahl")*(Deckblatt!$C$14='WK-Vorlagen'!$C$82))+(Deckblatt!$C$14&lt;&gt;'WK-Vorlagen'!$C$82),"",IF(ISERROR(MATCH(VALUE(MID(I512,1,2)),Schwierigkeitsstufen!$G$7:$G$19,0)),"Gerät falsch",LOOKUP(VALUE(MID(I512,1,2)),Schwierigkeitsstufen!$G$7:$G$19,Schwierigkeitsstufen!$H$7:$H$19)))</f>
        <v/>
      </c>
      <c r="AD512" s="251" t="str">
        <f>IF((($A512="")*($B512=""))+((MID($Y512,1,4)&lt;&gt;"Wahl")*(Deckblatt!$C$14='WK-Vorlagen'!$C$82))+(Deckblatt!$C$14&lt;&gt;'WK-Vorlagen'!$C$82),"",IF(ISERROR(MATCH(VALUE(MID(J512,1,2)),Schwierigkeitsstufen!$G$7:$G$19,0)),"Gerät falsch",LOOKUP(VALUE(MID(J512,1,2)),Schwierigkeitsstufen!$G$7:$G$19,Schwierigkeitsstufen!$H$7:$H$19)))</f>
        <v/>
      </c>
      <c r="AE512" s="211"/>
      <c r="AG512" s="221" t="str">
        <f t="shared" si="63"/>
        <v/>
      </c>
      <c r="AH512" s="222" t="str">
        <f t="shared" si="65"/>
        <v/>
      </c>
      <c r="AI512" s="220">
        <f t="shared" si="70"/>
        <v>4</v>
      </c>
      <c r="AJ512" s="222">
        <f t="shared" si="66"/>
        <v>0</v>
      </c>
      <c r="AK512" s="299" t="str">
        <f>IF(ISERROR(LOOKUP(E512,WKNrListe,Übersicht!$R$7:$R$46)),"-",LOOKUP(E512,WKNrListe,Übersicht!$R$7:$R$46))</f>
        <v>-</v>
      </c>
      <c r="AL512" s="299" t="str">
        <f t="shared" si="69"/>
        <v>-</v>
      </c>
      <c r="AM512" s="303"/>
      <c r="AN512" s="174" t="str">
        <f t="shared" si="71"/>
        <v>Leer</v>
      </c>
    </row>
    <row r="513" spans="1:40" s="174" customFormat="1" ht="15" customHeight="1">
      <c r="A513" s="63"/>
      <c r="B513" s="63"/>
      <c r="C513" s="84"/>
      <c r="D513" s="85"/>
      <c r="E513" s="62"/>
      <c r="F513" s="62"/>
      <c r="G513" s="62"/>
      <c r="H513" s="62"/>
      <c r="I513" s="62"/>
      <c r="J513" s="62"/>
      <c r="K513" s="62"/>
      <c r="L513" s="62"/>
      <c r="M513" s="62"/>
      <c r="N513" s="62"/>
      <c r="O513" s="62"/>
      <c r="P513" s="62"/>
      <c r="Q513" s="62"/>
      <c r="R513" s="62"/>
      <c r="S513" s="258"/>
      <c r="T513" s="248" t="str">
        <f t="shared" si="67"/>
        <v/>
      </c>
      <c r="U513" s="249" t="str">
        <f t="shared" si="68"/>
        <v/>
      </c>
      <c r="V513" s="294" t="str">
        <f t="shared" si="64"/>
        <v/>
      </c>
      <c r="W513" s="294" t="str">
        <f>IF(((E513="")+(F513="")),"",IF(VLOOKUP(F513,Mannschaften!$A$1:$B$54,2,FALSE)&lt;&gt;E513,"Reiter Mannschaften füllen",""))</f>
        <v/>
      </c>
      <c r="X513" s="248" t="str">
        <f>IF(ISBLANK(C513),"",IF((U513&gt;(LOOKUP(E513,WKNrListe,Übersicht!$O$7:$O$46)))+(U513&lt;(LOOKUP(E513,WKNrListe,Übersicht!$P$7:$P$46))),"JG falsch",""))</f>
        <v/>
      </c>
      <c r="Y513" s="255" t="str">
        <f>IF((A513="")*(B513=""),"",IF(ISERROR(MATCH(E513,WKNrListe,0)),"WK falsch",LOOKUP(E513,WKNrListe,Übersicht!$B$7:$B$46)))</f>
        <v/>
      </c>
      <c r="Z513" s="269" t="str">
        <f>IF(((AJ513=0)*(AH513&lt;&gt;"")*(AK513="-"))+((AJ513&lt;&gt;0)*(AH513&lt;&gt;"")*(AK513="-")),IF(AG513="X",Übersicht!$C$70,Übersicht!$C$69),"-")</f>
        <v>-</v>
      </c>
      <c r="AA513" s="252" t="str">
        <f>IF((($A513="")*($B513=""))+((MID($Y513,1,4)&lt;&gt;"Wahl")*(Deckblatt!$C$14='WK-Vorlagen'!$C$82))+(Deckblatt!$C$14&lt;&gt;'WK-Vorlagen'!$C$82),"",IF(ISERROR(MATCH(VALUE(MID(G513,1,2)),Schwierigkeitsstufen!$G$7:$G$19,0)),"Gerät falsch",LOOKUP(VALUE(MID(G513,1,2)),Schwierigkeitsstufen!$G$7:$G$19,Schwierigkeitsstufen!$H$7:$H$19)))</f>
        <v/>
      </c>
      <c r="AB513" s="250" t="str">
        <f>IF((($A513="")*($B513=""))+((MID($Y513,1,4)&lt;&gt;"Wahl")*(Deckblatt!$C$14='WK-Vorlagen'!$C$82))+(Deckblatt!$C$14&lt;&gt;'WK-Vorlagen'!$C$82),"",IF(ISERROR(MATCH(VALUE(MID(H513,1,2)),Schwierigkeitsstufen!$G$7:$G$19,0)),"Gerät falsch",LOOKUP(VALUE(MID(H513,1,2)),Schwierigkeitsstufen!$G$7:$G$19,Schwierigkeitsstufen!$H$7:$H$19)))</f>
        <v/>
      </c>
      <c r="AC513" s="250" t="str">
        <f>IF((($A513="")*($B513=""))+((MID($Y513,1,4)&lt;&gt;"Wahl")*(Deckblatt!$C$14='WK-Vorlagen'!$C$82))+(Deckblatt!$C$14&lt;&gt;'WK-Vorlagen'!$C$82),"",IF(ISERROR(MATCH(VALUE(MID(I513,1,2)),Schwierigkeitsstufen!$G$7:$G$19,0)),"Gerät falsch",LOOKUP(VALUE(MID(I513,1,2)),Schwierigkeitsstufen!$G$7:$G$19,Schwierigkeitsstufen!$H$7:$H$19)))</f>
        <v/>
      </c>
      <c r="AD513" s="251" t="str">
        <f>IF((($A513="")*($B513=""))+((MID($Y513,1,4)&lt;&gt;"Wahl")*(Deckblatt!$C$14='WK-Vorlagen'!$C$82))+(Deckblatt!$C$14&lt;&gt;'WK-Vorlagen'!$C$82),"",IF(ISERROR(MATCH(VALUE(MID(J513,1,2)),Schwierigkeitsstufen!$G$7:$G$19,0)),"Gerät falsch",LOOKUP(VALUE(MID(J513,1,2)),Schwierigkeitsstufen!$G$7:$G$19,Schwierigkeitsstufen!$H$7:$H$19)))</f>
        <v/>
      </c>
      <c r="AE513" s="211"/>
      <c r="AG513" s="221" t="str">
        <f t="shared" si="63"/>
        <v/>
      </c>
      <c r="AH513" s="222" t="str">
        <f t="shared" si="65"/>
        <v/>
      </c>
      <c r="AI513" s="220">
        <f t="shared" si="70"/>
        <v>4</v>
      </c>
      <c r="AJ513" s="222">
        <f t="shared" si="66"/>
        <v>0</v>
      </c>
      <c r="AK513" s="299" t="str">
        <f>IF(ISERROR(LOOKUP(E513,WKNrListe,Übersicht!$R$7:$R$46)),"-",LOOKUP(E513,WKNrListe,Übersicht!$R$7:$R$46))</f>
        <v>-</v>
      </c>
      <c r="AL513" s="299" t="str">
        <f t="shared" si="69"/>
        <v>-</v>
      </c>
      <c r="AM513" s="303"/>
      <c r="AN513" s="174" t="str">
        <f t="shared" si="71"/>
        <v>Leer</v>
      </c>
    </row>
    <row r="514" spans="1:40" s="174" customFormat="1" ht="15" customHeight="1">
      <c r="A514" s="63"/>
      <c r="B514" s="63"/>
      <c r="C514" s="84"/>
      <c r="D514" s="85"/>
      <c r="E514" s="62"/>
      <c r="F514" s="62"/>
      <c r="G514" s="62"/>
      <c r="H514" s="62"/>
      <c r="I514" s="62"/>
      <c r="J514" s="62"/>
      <c r="K514" s="62"/>
      <c r="L514" s="62"/>
      <c r="M514" s="62"/>
      <c r="N514" s="62"/>
      <c r="O514" s="62"/>
      <c r="P514" s="62"/>
      <c r="Q514" s="62"/>
      <c r="R514" s="62"/>
      <c r="S514" s="258"/>
      <c r="T514" s="248" t="str">
        <f t="shared" si="67"/>
        <v/>
      </c>
      <c r="U514" s="249" t="str">
        <f t="shared" si="68"/>
        <v/>
      </c>
      <c r="V514" s="294" t="str">
        <f t="shared" si="64"/>
        <v/>
      </c>
      <c r="W514" s="294" t="str">
        <f>IF(((E514="")+(F514="")),"",IF(VLOOKUP(F514,Mannschaften!$A$1:$B$54,2,FALSE)&lt;&gt;E514,"Reiter Mannschaften füllen",""))</f>
        <v/>
      </c>
      <c r="X514" s="248" t="str">
        <f>IF(ISBLANK(C514),"",IF((U514&gt;(LOOKUP(E514,WKNrListe,Übersicht!$O$7:$O$46)))+(U514&lt;(LOOKUP(E514,WKNrListe,Übersicht!$P$7:$P$46))),"JG falsch",""))</f>
        <v/>
      </c>
      <c r="Y514" s="255" t="str">
        <f>IF((A514="")*(B514=""),"",IF(ISERROR(MATCH(E514,WKNrListe,0)),"WK falsch",LOOKUP(E514,WKNrListe,Übersicht!$B$7:$B$46)))</f>
        <v/>
      </c>
      <c r="Z514" s="269" t="str">
        <f>IF(((AJ514=0)*(AH514&lt;&gt;"")*(AK514="-"))+((AJ514&lt;&gt;0)*(AH514&lt;&gt;"")*(AK514="-")),IF(AG514="X",Übersicht!$C$70,Übersicht!$C$69),"-")</f>
        <v>-</v>
      </c>
      <c r="AA514" s="252" t="str">
        <f>IF((($A514="")*($B514=""))+((MID($Y514,1,4)&lt;&gt;"Wahl")*(Deckblatt!$C$14='WK-Vorlagen'!$C$82))+(Deckblatt!$C$14&lt;&gt;'WK-Vorlagen'!$C$82),"",IF(ISERROR(MATCH(VALUE(MID(G514,1,2)),Schwierigkeitsstufen!$G$7:$G$19,0)),"Gerät falsch",LOOKUP(VALUE(MID(G514,1,2)),Schwierigkeitsstufen!$G$7:$G$19,Schwierigkeitsstufen!$H$7:$H$19)))</f>
        <v/>
      </c>
      <c r="AB514" s="250" t="str">
        <f>IF((($A514="")*($B514=""))+((MID($Y514,1,4)&lt;&gt;"Wahl")*(Deckblatt!$C$14='WK-Vorlagen'!$C$82))+(Deckblatt!$C$14&lt;&gt;'WK-Vorlagen'!$C$82),"",IF(ISERROR(MATCH(VALUE(MID(H514,1,2)),Schwierigkeitsstufen!$G$7:$G$19,0)),"Gerät falsch",LOOKUP(VALUE(MID(H514,1,2)),Schwierigkeitsstufen!$G$7:$G$19,Schwierigkeitsstufen!$H$7:$H$19)))</f>
        <v/>
      </c>
      <c r="AC514" s="250" t="str">
        <f>IF((($A514="")*($B514=""))+((MID($Y514,1,4)&lt;&gt;"Wahl")*(Deckblatt!$C$14='WK-Vorlagen'!$C$82))+(Deckblatt!$C$14&lt;&gt;'WK-Vorlagen'!$C$82),"",IF(ISERROR(MATCH(VALUE(MID(I514,1,2)),Schwierigkeitsstufen!$G$7:$G$19,0)),"Gerät falsch",LOOKUP(VALUE(MID(I514,1,2)),Schwierigkeitsstufen!$G$7:$G$19,Schwierigkeitsstufen!$H$7:$H$19)))</f>
        <v/>
      </c>
      <c r="AD514" s="251" t="str">
        <f>IF((($A514="")*($B514=""))+((MID($Y514,1,4)&lt;&gt;"Wahl")*(Deckblatt!$C$14='WK-Vorlagen'!$C$82))+(Deckblatt!$C$14&lt;&gt;'WK-Vorlagen'!$C$82),"",IF(ISERROR(MATCH(VALUE(MID(J514,1,2)),Schwierigkeitsstufen!$G$7:$G$19,0)),"Gerät falsch",LOOKUP(VALUE(MID(J514,1,2)),Schwierigkeitsstufen!$G$7:$G$19,Schwierigkeitsstufen!$H$7:$H$19)))</f>
        <v/>
      </c>
      <c r="AE514" s="211"/>
      <c r="AG514" s="221" t="str">
        <f t="shared" si="63"/>
        <v/>
      </c>
      <c r="AH514" s="222" t="str">
        <f t="shared" si="65"/>
        <v/>
      </c>
      <c r="AI514" s="220">
        <f t="shared" si="70"/>
        <v>4</v>
      </c>
      <c r="AJ514" s="222">
        <f t="shared" si="66"/>
        <v>0</v>
      </c>
      <c r="AK514" s="299" t="str">
        <f>IF(ISERROR(LOOKUP(E514,WKNrListe,Übersicht!$R$7:$R$46)),"-",LOOKUP(E514,WKNrListe,Übersicht!$R$7:$R$46))</f>
        <v>-</v>
      </c>
      <c r="AL514" s="299" t="str">
        <f t="shared" si="69"/>
        <v>-</v>
      </c>
      <c r="AM514" s="303"/>
      <c r="AN514" s="174" t="str">
        <f t="shared" si="71"/>
        <v>Leer</v>
      </c>
    </row>
    <row r="515" spans="1:40" s="174" customFormat="1" ht="15" customHeight="1">
      <c r="A515" s="63"/>
      <c r="B515" s="63"/>
      <c r="C515" s="84"/>
      <c r="D515" s="85"/>
      <c r="E515" s="62"/>
      <c r="F515" s="62"/>
      <c r="G515" s="62"/>
      <c r="H515" s="62"/>
      <c r="I515" s="62"/>
      <c r="J515" s="62"/>
      <c r="K515" s="62"/>
      <c r="L515" s="62"/>
      <c r="M515" s="62"/>
      <c r="N515" s="62"/>
      <c r="O515" s="62"/>
      <c r="P515" s="62"/>
      <c r="Q515" s="62"/>
      <c r="R515" s="62"/>
      <c r="S515" s="258"/>
      <c r="T515" s="248" t="str">
        <f t="shared" si="67"/>
        <v/>
      </c>
      <c r="U515" s="249" t="str">
        <f t="shared" si="68"/>
        <v/>
      </c>
      <c r="V515" s="294" t="str">
        <f t="shared" si="64"/>
        <v/>
      </c>
      <c r="W515" s="294" t="str">
        <f>IF(((E515="")+(F515="")),"",IF(VLOOKUP(F515,Mannschaften!$A$1:$B$54,2,FALSE)&lt;&gt;E515,"Reiter Mannschaften füllen",""))</f>
        <v/>
      </c>
      <c r="X515" s="248" t="str">
        <f>IF(ISBLANK(C515),"",IF((U515&gt;(LOOKUP(E515,WKNrListe,Übersicht!$O$7:$O$46)))+(U515&lt;(LOOKUP(E515,WKNrListe,Übersicht!$P$7:$P$46))),"JG falsch",""))</f>
        <v/>
      </c>
      <c r="Y515" s="255" t="str">
        <f>IF((A515="")*(B515=""),"",IF(ISERROR(MATCH(E515,WKNrListe,0)),"WK falsch",LOOKUP(E515,WKNrListe,Übersicht!$B$7:$B$46)))</f>
        <v/>
      </c>
      <c r="Z515" s="269" t="str">
        <f>IF(((AJ515=0)*(AH515&lt;&gt;"")*(AK515="-"))+((AJ515&lt;&gt;0)*(AH515&lt;&gt;"")*(AK515="-")),IF(AG515="X",Übersicht!$C$70,Übersicht!$C$69),"-")</f>
        <v>-</v>
      </c>
      <c r="AA515" s="252" t="str">
        <f>IF((($A515="")*($B515=""))+((MID($Y515,1,4)&lt;&gt;"Wahl")*(Deckblatt!$C$14='WK-Vorlagen'!$C$82))+(Deckblatt!$C$14&lt;&gt;'WK-Vorlagen'!$C$82),"",IF(ISERROR(MATCH(VALUE(MID(G515,1,2)),Schwierigkeitsstufen!$G$7:$G$19,0)),"Gerät falsch",LOOKUP(VALUE(MID(G515,1,2)),Schwierigkeitsstufen!$G$7:$G$19,Schwierigkeitsstufen!$H$7:$H$19)))</f>
        <v/>
      </c>
      <c r="AB515" s="250" t="str">
        <f>IF((($A515="")*($B515=""))+((MID($Y515,1,4)&lt;&gt;"Wahl")*(Deckblatt!$C$14='WK-Vorlagen'!$C$82))+(Deckblatt!$C$14&lt;&gt;'WK-Vorlagen'!$C$82),"",IF(ISERROR(MATCH(VALUE(MID(H515,1,2)),Schwierigkeitsstufen!$G$7:$G$19,0)),"Gerät falsch",LOOKUP(VALUE(MID(H515,1,2)),Schwierigkeitsstufen!$G$7:$G$19,Schwierigkeitsstufen!$H$7:$H$19)))</f>
        <v/>
      </c>
      <c r="AC515" s="250" t="str">
        <f>IF((($A515="")*($B515=""))+((MID($Y515,1,4)&lt;&gt;"Wahl")*(Deckblatt!$C$14='WK-Vorlagen'!$C$82))+(Deckblatt!$C$14&lt;&gt;'WK-Vorlagen'!$C$82),"",IF(ISERROR(MATCH(VALUE(MID(I515,1,2)),Schwierigkeitsstufen!$G$7:$G$19,0)),"Gerät falsch",LOOKUP(VALUE(MID(I515,1,2)),Schwierigkeitsstufen!$G$7:$G$19,Schwierigkeitsstufen!$H$7:$H$19)))</f>
        <v/>
      </c>
      <c r="AD515" s="251" t="str">
        <f>IF((($A515="")*($B515=""))+((MID($Y515,1,4)&lt;&gt;"Wahl")*(Deckblatt!$C$14='WK-Vorlagen'!$C$82))+(Deckblatt!$C$14&lt;&gt;'WK-Vorlagen'!$C$82),"",IF(ISERROR(MATCH(VALUE(MID(J515,1,2)),Schwierigkeitsstufen!$G$7:$G$19,0)),"Gerät falsch",LOOKUP(VALUE(MID(J515,1,2)),Schwierigkeitsstufen!$G$7:$G$19,Schwierigkeitsstufen!$H$7:$H$19)))</f>
        <v/>
      </c>
      <c r="AE515" s="211"/>
      <c r="AG515" s="221" t="str">
        <f t="shared" si="63"/>
        <v/>
      </c>
      <c r="AH515" s="222" t="str">
        <f t="shared" si="65"/>
        <v/>
      </c>
      <c r="AI515" s="220">
        <f t="shared" si="70"/>
        <v>4</v>
      </c>
      <c r="AJ515" s="222">
        <f t="shared" si="66"/>
        <v>0</v>
      </c>
      <c r="AK515" s="299" t="str">
        <f>IF(ISERROR(LOOKUP(E515,WKNrListe,Übersicht!$R$7:$R$46)),"-",LOOKUP(E515,WKNrListe,Übersicht!$R$7:$R$46))</f>
        <v>-</v>
      </c>
      <c r="AL515" s="299" t="str">
        <f t="shared" si="69"/>
        <v>-</v>
      </c>
      <c r="AM515" s="303"/>
      <c r="AN515" s="174" t="str">
        <f t="shared" si="71"/>
        <v>Leer</v>
      </c>
    </row>
    <row r="516" spans="1:40" s="174" customFormat="1" ht="15" customHeight="1">
      <c r="A516" s="63"/>
      <c r="B516" s="63"/>
      <c r="C516" s="84"/>
      <c r="D516" s="85"/>
      <c r="E516" s="62"/>
      <c r="F516" s="62"/>
      <c r="G516" s="62"/>
      <c r="H516" s="62"/>
      <c r="I516" s="62"/>
      <c r="J516" s="62"/>
      <c r="K516" s="62"/>
      <c r="L516" s="62"/>
      <c r="M516" s="62"/>
      <c r="N516" s="62"/>
      <c r="O516" s="62"/>
      <c r="P516" s="62"/>
      <c r="Q516" s="62"/>
      <c r="R516" s="62"/>
      <c r="S516" s="258"/>
      <c r="T516" s="248" t="str">
        <f t="shared" si="67"/>
        <v/>
      </c>
      <c r="U516" s="249" t="str">
        <f t="shared" si="68"/>
        <v/>
      </c>
      <c r="V516" s="294" t="str">
        <f t="shared" si="64"/>
        <v/>
      </c>
      <c r="W516" s="294" t="str">
        <f>IF(((E516="")+(F516="")),"",IF(VLOOKUP(F516,Mannschaften!$A$1:$B$54,2,FALSE)&lt;&gt;E516,"Reiter Mannschaften füllen",""))</f>
        <v/>
      </c>
      <c r="X516" s="248" t="str">
        <f>IF(ISBLANK(C516),"",IF((U516&gt;(LOOKUP(E516,WKNrListe,Übersicht!$O$7:$O$46)))+(U516&lt;(LOOKUP(E516,WKNrListe,Übersicht!$P$7:$P$46))),"JG falsch",""))</f>
        <v/>
      </c>
      <c r="Y516" s="255" t="str">
        <f>IF((A516="")*(B516=""),"",IF(ISERROR(MATCH(E516,WKNrListe,0)),"WK falsch",LOOKUP(E516,WKNrListe,Übersicht!$B$7:$B$46)))</f>
        <v/>
      </c>
      <c r="Z516" s="269" t="str">
        <f>IF(((AJ516=0)*(AH516&lt;&gt;"")*(AK516="-"))+((AJ516&lt;&gt;0)*(AH516&lt;&gt;"")*(AK516="-")),IF(AG516="X",Übersicht!$C$70,Übersicht!$C$69),"-")</f>
        <v>-</v>
      </c>
      <c r="AA516" s="252" t="str">
        <f>IF((($A516="")*($B516=""))+((MID($Y516,1,4)&lt;&gt;"Wahl")*(Deckblatt!$C$14='WK-Vorlagen'!$C$82))+(Deckblatt!$C$14&lt;&gt;'WK-Vorlagen'!$C$82),"",IF(ISERROR(MATCH(VALUE(MID(G516,1,2)),Schwierigkeitsstufen!$G$7:$G$19,0)),"Gerät falsch",LOOKUP(VALUE(MID(G516,1,2)),Schwierigkeitsstufen!$G$7:$G$19,Schwierigkeitsstufen!$H$7:$H$19)))</f>
        <v/>
      </c>
      <c r="AB516" s="250" t="str">
        <f>IF((($A516="")*($B516=""))+((MID($Y516,1,4)&lt;&gt;"Wahl")*(Deckblatt!$C$14='WK-Vorlagen'!$C$82))+(Deckblatt!$C$14&lt;&gt;'WK-Vorlagen'!$C$82),"",IF(ISERROR(MATCH(VALUE(MID(H516,1,2)),Schwierigkeitsstufen!$G$7:$G$19,0)),"Gerät falsch",LOOKUP(VALUE(MID(H516,1,2)),Schwierigkeitsstufen!$G$7:$G$19,Schwierigkeitsstufen!$H$7:$H$19)))</f>
        <v/>
      </c>
      <c r="AC516" s="250" t="str">
        <f>IF((($A516="")*($B516=""))+((MID($Y516,1,4)&lt;&gt;"Wahl")*(Deckblatt!$C$14='WK-Vorlagen'!$C$82))+(Deckblatt!$C$14&lt;&gt;'WK-Vorlagen'!$C$82),"",IF(ISERROR(MATCH(VALUE(MID(I516,1,2)),Schwierigkeitsstufen!$G$7:$G$19,0)),"Gerät falsch",LOOKUP(VALUE(MID(I516,1,2)),Schwierigkeitsstufen!$G$7:$G$19,Schwierigkeitsstufen!$H$7:$H$19)))</f>
        <v/>
      </c>
      <c r="AD516" s="251" t="str">
        <f>IF((($A516="")*($B516=""))+((MID($Y516,1,4)&lt;&gt;"Wahl")*(Deckblatt!$C$14='WK-Vorlagen'!$C$82))+(Deckblatt!$C$14&lt;&gt;'WK-Vorlagen'!$C$82),"",IF(ISERROR(MATCH(VALUE(MID(J516,1,2)),Schwierigkeitsstufen!$G$7:$G$19,0)),"Gerät falsch",LOOKUP(VALUE(MID(J516,1,2)),Schwierigkeitsstufen!$G$7:$G$19,Schwierigkeitsstufen!$H$7:$H$19)))</f>
        <v/>
      </c>
      <c r="AE516" s="211"/>
      <c r="AG516" s="221" t="str">
        <f t="shared" ref="AG516:AG579" si="72">IF((C516&lt;&gt;0),IF(((Jahr-U516)&gt;19)*(AJ516=0)*(AK516&lt;&gt;1),"X",IF(((Jahr-U516)&gt;19)*(AJ516=0),"J","-")),"")</f>
        <v/>
      </c>
      <c r="AH516" s="222" t="str">
        <f t="shared" si="65"/>
        <v/>
      </c>
      <c r="AI516" s="220">
        <f t="shared" si="70"/>
        <v>4</v>
      </c>
      <c r="AJ516" s="222">
        <f t="shared" si="66"/>
        <v>0</v>
      </c>
      <c r="AK516" s="299" t="str">
        <f>IF(ISERROR(LOOKUP(E516,WKNrListe,Übersicht!$R$7:$R$46)),"-",LOOKUP(E516,WKNrListe,Übersicht!$R$7:$R$46))</f>
        <v>-</v>
      </c>
      <c r="AL516" s="299" t="str">
        <f t="shared" si="69"/>
        <v>-</v>
      </c>
      <c r="AM516" s="303"/>
      <c r="AN516" s="174" t="str">
        <f t="shared" si="71"/>
        <v>Leer</v>
      </c>
    </row>
    <row r="517" spans="1:40" s="174" customFormat="1" ht="15" customHeight="1">
      <c r="A517" s="63"/>
      <c r="B517" s="63"/>
      <c r="C517" s="84"/>
      <c r="D517" s="85"/>
      <c r="E517" s="62"/>
      <c r="F517" s="62"/>
      <c r="G517" s="62"/>
      <c r="H517" s="62"/>
      <c r="I517" s="62"/>
      <c r="J517" s="62"/>
      <c r="K517" s="62"/>
      <c r="L517" s="62"/>
      <c r="M517" s="62"/>
      <c r="N517" s="62"/>
      <c r="O517" s="62"/>
      <c r="P517" s="62"/>
      <c r="Q517" s="62"/>
      <c r="R517" s="62"/>
      <c r="S517" s="258"/>
      <c r="T517" s="248" t="str">
        <f t="shared" si="67"/>
        <v/>
      </c>
      <c r="U517" s="249" t="str">
        <f t="shared" si="68"/>
        <v/>
      </c>
      <c r="V517" s="294" t="str">
        <f t="shared" ref="V517:V580" si="73">IF(((AK517="-")*(F517=""))+((AK517=1)*(F517&lt;&gt;""))+(Y517="WK falsch"),"",IF((AK517=1)*(F517=""),"Mannsch-Nr fehlt","Mannsch-Nr entf"))</f>
        <v/>
      </c>
      <c r="W517" s="294" t="str">
        <f>IF(((E517="")+(F517="")),"",IF(VLOOKUP(F517,Mannschaften!$A$1:$B$54,2,FALSE)&lt;&gt;E517,"Reiter Mannschaften füllen",""))</f>
        <v/>
      </c>
      <c r="X517" s="248" t="str">
        <f>IF(ISBLANK(C517),"",IF((U517&gt;(LOOKUP(E517,WKNrListe,Übersicht!$O$7:$O$46)))+(U517&lt;(LOOKUP(E517,WKNrListe,Übersicht!$P$7:$P$46))),"JG falsch",""))</f>
        <v/>
      </c>
      <c r="Y517" s="255" t="str">
        <f>IF((A517="")*(B517=""),"",IF(ISERROR(MATCH(E517,WKNrListe,0)),"WK falsch",LOOKUP(E517,WKNrListe,Übersicht!$B$7:$B$46)))</f>
        <v/>
      </c>
      <c r="Z517" s="269" t="str">
        <f>IF(((AJ517=0)*(AH517&lt;&gt;"")*(AK517="-"))+((AJ517&lt;&gt;0)*(AH517&lt;&gt;"")*(AK517="-")),IF(AG517="X",Übersicht!$C$70,Übersicht!$C$69),"-")</f>
        <v>-</v>
      </c>
      <c r="AA517" s="252" t="str">
        <f>IF((($A517="")*($B517=""))+((MID($Y517,1,4)&lt;&gt;"Wahl")*(Deckblatt!$C$14='WK-Vorlagen'!$C$82))+(Deckblatt!$C$14&lt;&gt;'WK-Vorlagen'!$C$82),"",IF(ISERROR(MATCH(VALUE(MID(G517,1,2)),Schwierigkeitsstufen!$G$7:$G$19,0)),"Gerät falsch",LOOKUP(VALUE(MID(G517,1,2)),Schwierigkeitsstufen!$G$7:$G$19,Schwierigkeitsstufen!$H$7:$H$19)))</f>
        <v/>
      </c>
      <c r="AB517" s="250" t="str">
        <f>IF((($A517="")*($B517=""))+((MID($Y517,1,4)&lt;&gt;"Wahl")*(Deckblatt!$C$14='WK-Vorlagen'!$C$82))+(Deckblatt!$C$14&lt;&gt;'WK-Vorlagen'!$C$82),"",IF(ISERROR(MATCH(VALUE(MID(H517,1,2)),Schwierigkeitsstufen!$G$7:$G$19,0)),"Gerät falsch",LOOKUP(VALUE(MID(H517,1,2)),Schwierigkeitsstufen!$G$7:$G$19,Schwierigkeitsstufen!$H$7:$H$19)))</f>
        <v/>
      </c>
      <c r="AC517" s="250" t="str">
        <f>IF((($A517="")*($B517=""))+((MID($Y517,1,4)&lt;&gt;"Wahl")*(Deckblatt!$C$14='WK-Vorlagen'!$C$82))+(Deckblatt!$C$14&lt;&gt;'WK-Vorlagen'!$C$82),"",IF(ISERROR(MATCH(VALUE(MID(I517,1,2)),Schwierigkeitsstufen!$G$7:$G$19,0)),"Gerät falsch",LOOKUP(VALUE(MID(I517,1,2)),Schwierigkeitsstufen!$G$7:$G$19,Schwierigkeitsstufen!$H$7:$H$19)))</f>
        <v/>
      </c>
      <c r="AD517" s="251" t="str">
        <f>IF((($A517="")*($B517=""))+((MID($Y517,1,4)&lt;&gt;"Wahl")*(Deckblatt!$C$14='WK-Vorlagen'!$C$82))+(Deckblatt!$C$14&lt;&gt;'WK-Vorlagen'!$C$82),"",IF(ISERROR(MATCH(VALUE(MID(J517,1,2)),Schwierigkeitsstufen!$G$7:$G$19,0)),"Gerät falsch",LOOKUP(VALUE(MID(J517,1,2)),Schwierigkeitsstufen!$G$7:$G$19,Schwierigkeitsstufen!$H$7:$H$19)))</f>
        <v/>
      </c>
      <c r="AE517" s="211"/>
      <c r="AG517" s="221" t="str">
        <f t="shared" si="72"/>
        <v/>
      </c>
      <c r="AH517" s="222" t="str">
        <f t="shared" ref="AH517:AH580" si="74">CONCATENATE(TRIM(A517),TRIM(B517),TRIM(C517))</f>
        <v/>
      </c>
      <c r="AI517" s="220">
        <f t="shared" si="70"/>
        <v>4</v>
      </c>
      <c r="AJ517" s="222">
        <f t="shared" ref="AJ517:AJ580" si="75">IF(AH517="",0,IF(ROW(AH517)=AI517,0,AI517))</f>
        <v>0</v>
      </c>
      <c r="AK517" s="299" t="str">
        <f>IF(ISERROR(LOOKUP(E517,WKNrListe,Übersicht!$R$7:$R$46)),"-",LOOKUP(E517,WKNrListe,Übersicht!$R$7:$R$46))</f>
        <v>-</v>
      </c>
      <c r="AL517" s="299" t="str">
        <f t="shared" si="69"/>
        <v>-</v>
      </c>
      <c r="AM517" s="303"/>
      <c r="AN517" s="174" t="str">
        <f t="shared" si="71"/>
        <v>Leer</v>
      </c>
    </row>
    <row r="518" spans="1:40" s="174" customFormat="1" ht="15" customHeight="1">
      <c r="A518" s="63"/>
      <c r="B518" s="63"/>
      <c r="C518" s="84"/>
      <c r="D518" s="85"/>
      <c r="E518" s="62"/>
      <c r="F518" s="62"/>
      <c r="G518" s="62"/>
      <c r="H518" s="62"/>
      <c r="I518" s="62"/>
      <c r="J518" s="62"/>
      <c r="K518" s="62"/>
      <c r="L518" s="62"/>
      <c r="M518" s="62"/>
      <c r="N518" s="62"/>
      <c r="O518" s="62"/>
      <c r="P518" s="62"/>
      <c r="Q518" s="62"/>
      <c r="R518" s="62"/>
      <c r="S518" s="258"/>
      <c r="T518" s="248" t="str">
        <f t="shared" ref="T518:T581" si="76">IF(AND(OR(ISTEXT(A518),ISTEXT(B518),NOT(ISBLANK(C518)),NOT(ISBLANK(D518)),NOT(ISBLANK(E518))),OR(ISBLANK(A518),ISBLANK(B518),ISBLANK(C518),ISBLANK(E518))),"unvollständig","")</f>
        <v/>
      </c>
      <c r="U518" s="249" t="str">
        <f t="shared" ref="U518:U581" si="77">IF(ISBLANK(C518),"",YEAR(C518))</f>
        <v/>
      </c>
      <c r="V518" s="294" t="str">
        <f t="shared" si="73"/>
        <v/>
      </c>
      <c r="W518" s="294" t="str">
        <f>IF(((E518="")+(F518="")),"",IF(VLOOKUP(F518,Mannschaften!$A$1:$B$54,2,FALSE)&lt;&gt;E518,"Reiter Mannschaften füllen",""))</f>
        <v/>
      </c>
      <c r="X518" s="248" t="str">
        <f>IF(ISBLANK(C518),"",IF((U518&gt;(LOOKUP(E518,WKNrListe,Übersicht!$O$7:$O$46)))+(U518&lt;(LOOKUP(E518,WKNrListe,Übersicht!$P$7:$P$46))),"JG falsch",""))</f>
        <v/>
      </c>
      <c r="Y518" s="255" t="str">
        <f>IF((A518="")*(B518=""),"",IF(ISERROR(MATCH(E518,WKNrListe,0)),"WK falsch",LOOKUP(E518,WKNrListe,Übersicht!$B$7:$B$46)))</f>
        <v/>
      </c>
      <c r="Z518" s="269" t="str">
        <f>IF(((AJ518=0)*(AH518&lt;&gt;"")*(AK518="-"))+((AJ518&lt;&gt;0)*(AH518&lt;&gt;"")*(AK518="-")),IF(AG518="X",Übersicht!$C$70,Übersicht!$C$69),"-")</f>
        <v>-</v>
      </c>
      <c r="AA518" s="252" t="str">
        <f>IF((($A518="")*($B518=""))+((MID($Y518,1,4)&lt;&gt;"Wahl")*(Deckblatt!$C$14='WK-Vorlagen'!$C$82))+(Deckblatt!$C$14&lt;&gt;'WK-Vorlagen'!$C$82),"",IF(ISERROR(MATCH(VALUE(MID(G518,1,2)),Schwierigkeitsstufen!$G$7:$G$19,0)),"Gerät falsch",LOOKUP(VALUE(MID(G518,1,2)),Schwierigkeitsstufen!$G$7:$G$19,Schwierigkeitsstufen!$H$7:$H$19)))</f>
        <v/>
      </c>
      <c r="AB518" s="250" t="str">
        <f>IF((($A518="")*($B518=""))+((MID($Y518,1,4)&lt;&gt;"Wahl")*(Deckblatt!$C$14='WK-Vorlagen'!$C$82))+(Deckblatt!$C$14&lt;&gt;'WK-Vorlagen'!$C$82),"",IF(ISERROR(MATCH(VALUE(MID(H518,1,2)),Schwierigkeitsstufen!$G$7:$G$19,0)),"Gerät falsch",LOOKUP(VALUE(MID(H518,1,2)),Schwierigkeitsstufen!$G$7:$G$19,Schwierigkeitsstufen!$H$7:$H$19)))</f>
        <v/>
      </c>
      <c r="AC518" s="250" t="str">
        <f>IF((($A518="")*($B518=""))+((MID($Y518,1,4)&lt;&gt;"Wahl")*(Deckblatt!$C$14='WK-Vorlagen'!$C$82))+(Deckblatt!$C$14&lt;&gt;'WK-Vorlagen'!$C$82),"",IF(ISERROR(MATCH(VALUE(MID(I518,1,2)),Schwierigkeitsstufen!$G$7:$G$19,0)),"Gerät falsch",LOOKUP(VALUE(MID(I518,1,2)),Schwierigkeitsstufen!$G$7:$G$19,Schwierigkeitsstufen!$H$7:$H$19)))</f>
        <v/>
      </c>
      <c r="AD518" s="251" t="str">
        <f>IF((($A518="")*($B518=""))+((MID($Y518,1,4)&lt;&gt;"Wahl")*(Deckblatt!$C$14='WK-Vorlagen'!$C$82))+(Deckblatt!$C$14&lt;&gt;'WK-Vorlagen'!$C$82),"",IF(ISERROR(MATCH(VALUE(MID(J518,1,2)),Schwierigkeitsstufen!$G$7:$G$19,0)),"Gerät falsch",LOOKUP(VALUE(MID(J518,1,2)),Schwierigkeitsstufen!$G$7:$G$19,Schwierigkeitsstufen!$H$7:$H$19)))</f>
        <v/>
      </c>
      <c r="AE518" s="211"/>
      <c r="AG518" s="221" t="str">
        <f t="shared" si="72"/>
        <v/>
      </c>
      <c r="AH518" s="222" t="str">
        <f t="shared" si="74"/>
        <v/>
      </c>
      <c r="AI518" s="220">
        <f t="shared" si="70"/>
        <v>4</v>
      </c>
      <c r="AJ518" s="222">
        <f t="shared" si="75"/>
        <v>0</v>
      </c>
      <c r="AK518" s="299" t="str">
        <f>IF(ISERROR(LOOKUP(E518,WKNrListe,Übersicht!$R$7:$R$46)),"-",LOOKUP(E518,WKNrListe,Übersicht!$R$7:$R$46))</f>
        <v>-</v>
      </c>
      <c r="AL518" s="299" t="str">
        <f t="shared" ref="AL518:AL581" si="78">IF(E518="","-",E518)</f>
        <v>-</v>
      </c>
      <c r="AM518" s="303"/>
      <c r="AN518" s="174" t="str">
        <f t="shared" si="71"/>
        <v>Leer</v>
      </c>
    </row>
    <row r="519" spans="1:40" s="174" customFormat="1" ht="15" customHeight="1">
      <c r="A519" s="63"/>
      <c r="B519" s="63"/>
      <c r="C519" s="84"/>
      <c r="D519" s="85"/>
      <c r="E519" s="62"/>
      <c r="F519" s="62"/>
      <c r="G519" s="62"/>
      <c r="H519" s="62"/>
      <c r="I519" s="62"/>
      <c r="J519" s="62"/>
      <c r="K519" s="62"/>
      <c r="L519" s="62"/>
      <c r="M519" s="62"/>
      <c r="N519" s="62"/>
      <c r="O519" s="62"/>
      <c r="P519" s="62"/>
      <c r="Q519" s="62"/>
      <c r="R519" s="62"/>
      <c r="S519" s="258"/>
      <c r="T519" s="248" t="str">
        <f t="shared" si="76"/>
        <v/>
      </c>
      <c r="U519" s="249" t="str">
        <f t="shared" si="77"/>
        <v/>
      </c>
      <c r="V519" s="294" t="str">
        <f t="shared" si="73"/>
        <v/>
      </c>
      <c r="W519" s="294" t="str">
        <f>IF(((E519="")+(F519="")),"",IF(VLOOKUP(F519,Mannschaften!$A$1:$B$54,2,FALSE)&lt;&gt;E519,"Reiter Mannschaften füllen",""))</f>
        <v/>
      </c>
      <c r="X519" s="248" t="str">
        <f>IF(ISBLANK(C519),"",IF((U519&gt;(LOOKUP(E519,WKNrListe,Übersicht!$O$7:$O$46)))+(U519&lt;(LOOKUP(E519,WKNrListe,Übersicht!$P$7:$P$46))),"JG falsch",""))</f>
        <v/>
      </c>
      <c r="Y519" s="255" t="str">
        <f>IF((A519="")*(B519=""),"",IF(ISERROR(MATCH(E519,WKNrListe,0)),"WK falsch",LOOKUP(E519,WKNrListe,Übersicht!$B$7:$B$46)))</f>
        <v/>
      </c>
      <c r="Z519" s="269" t="str">
        <f>IF(((AJ519=0)*(AH519&lt;&gt;"")*(AK519="-"))+((AJ519&lt;&gt;0)*(AH519&lt;&gt;"")*(AK519="-")),IF(AG519="X",Übersicht!$C$70,Übersicht!$C$69),"-")</f>
        <v>-</v>
      </c>
      <c r="AA519" s="252" t="str">
        <f>IF((($A519="")*($B519=""))+((MID($Y519,1,4)&lt;&gt;"Wahl")*(Deckblatt!$C$14='WK-Vorlagen'!$C$82))+(Deckblatt!$C$14&lt;&gt;'WK-Vorlagen'!$C$82),"",IF(ISERROR(MATCH(VALUE(MID(G519,1,2)),Schwierigkeitsstufen!$G$7:$G$19,0)),"Gerät falsch",LOOKUP(VALUE(MID(G519,1,2)),Schwierigkeitsstufen!$G$7:$G$19,Schwierigkeitsstufen!$H$7:$H$19)))</f>
        <v/>
      </c>
      <c r="AB519" s="250" t="str">
        <f>IF((($A519="")*($B519=""))+((MID($Y519,1,4)&lt;&gt;"Wahl")*(Deckblatt!$C$14='WK-Vorlagen'!$C$82))+(Deckblatt!$C$14&lt;&gt;'WK-Vorlagen'!$C$82),"",IF(ISERROR(MATCH(VALUE(MID(H519,1,2)),Schwierigkeitsstufen!$G$7:$G$19,0)),"Gerät falsch",LOOKUP(VALUE(MID(H519,1,2)),Schwierigkeitsstufen!$G$7:$G$19,Schwierigkeitsstufen!$H$7:$H$19)))</f>
        <v/>
      </c>
      <c r="AC519" s="250" t="str">
        <f>IF((($A519="")*($B519=""))+((MID($Y519,1,4)&lt;&gt;"Wahl")*(Deckblatt!$C$14='WK-Vorlagen'!$C$82))+(Deckblatt!$C$14&lt;&gt;'WK-Vorlagen'!$C$82),"",IF(ISERROR(MATCH(VALUE(MID(I519,1,2)),Schwierigkeitsstufen!$G$7:$G$19,0)),"Gerät falsch",LOOKUP(VALUE(MID(I519,1,2)),Schwierigkeitsstufen!$G$7:$G$19,Schwierigkeitsstufen!$H$7:$H$19)))</f>
        <v/>
      </c>
      <c r="AD519" s="251" t="str">
        <f>IF((($A519="")*($B519=""))+((MID($Y519,1,4)&lt;&gt;"Wahl")*(Deckblatt!$C$14='WK-Vorlagen'!$C$82))+(Deckblatt!$C$14&lt;&gt;'WK-Vorlagen'!$C$82),"",IF(ISERROR(MATCH(VALUE(MID(J519,1,2)),Schwierigkeitsstufen!$G$7:$G$19,0)),"Gerät falsch",LOOKUP(VALUE(MID(J519,1,2)),Schwierigkeitsstufen!$G$7:$G$19,Schwierigkeitsstufen!$H$7:$H$19)))</f>
        <v/>
      </c>
      <c r="AE519" s="211"/>
      <c r="AG519" s="221" t="str">
        <f t="shared" si="72"/>
        <v/>
      </c>
      <c r="AH519" s="222" t="str">
        <f t="shared" si="74"/>
        <v/>
      </c>
      <c r="AI519" s="220">
        <f t="shared" ref="AI519:AI582" si="79">MATCH(AH519,AH:AH,0)</f>
        <v>4</v>
      </c>
      <c r="AJ519" s="222">
        <f t="shared" si="75"/>
        <v>0</v>
      </c>
      <c r="AK519" s="299" t="str">
        <f>IF(ISERROR(LOOKUP(E519,WKNrListe,Übersicht!$R$7:$R$46)),"-",LOOKUP(E519,WKNrListe,Übersicht!$R$7:$R$46))</f>
        <v>-</v>
      </c>
      <c r="AL519" s="299" t="str">
        <f t="shared" si="78"/>
        <v>-</v>
      </c>
      <c r="AM519" s="303"/>
      <c r="AN519" s="174" t="str">
        <f t="shared" si="71"/>
        <v>Leer</v>
      </c>
    </row>
    <row r="520" spans="1:40" s="174" customFormat="1" ht="15" customHeight="1">
      <c r="A520" s="63"/>
      <c r="B520" s="63"/>
      <c r="C520" s="84"/>
      <c r="D520" s="85"/>
      <c r="E520" s="62"/>
      <c r="F520" s="62"/>
      <c r="G520" s="62"/>
      <c r="H520" s="62"/>
      <c r="I520" s="62"/>
      <c r="J520" s="62"/>
      <c r="K520" s="62"/>
      <c r="L520" s="62"/>
      <c r="M520" s="62"/>
      <c r="N520" s="62"/>
      <c r="O520" s="62"/>
      <c r="P520" s="62"/>
      <c r="Q520" s="62"/>
      <c r="R520" s="62"/>
      <c r="S520" s="258"/>
      <c r="T520" s="248" t="str">
        <f t="shared" si="76"/>
        <v/>
      </c>
      <c r="U520" s="249" t="str">
        <f t="shared" si="77"/>
        <v/>
      </c>
      <c r="V520" s="294" t="str">
        <f t="shared" si="73"/>
        <v/>
      </c>
      <c r="W520" s="294" t="str">
        <f>IF(((E520="")+(F520="")),"",IF(VLOOKUP(F520,Mannschaften!$A$1:$B$54,2,FALSE)&lt;&gt;E520,"Reiter Mannschaften füllen",""))</f>
        <v/>
      </c>
      <c r="X520" s="248" t="str">
        <f>IF(ISBLANK(C520),"",IF((U520&gt;(LOOKUP(E520,WKNrListe,Übersicht!$O$7:$O$46)))+(U520&lt;(LOOKUP(E520,WKNrListe,Übersicht!$P$7:$P$46))),"JG falsch",""))</f>
        <v/>
      </c>
      <c r="Y520" s="255" t="str">
        <f>IF((A520="")*(B520=""),"",IF(ISERROR(MATCH(E520,WKNrListe,0)),"WK falsch",LOOKUP(E520,WKNrListe,Übersicht!$B$7:$B$46)))</f>
        <v/>
      </c>
      <c r="Z520" s="269" t="str">
        <f>IF(((AJ520=0)*(AH520&lt;&gt;"")*(AK520="-"))+((AJ520&lt;&gt;0)*(AH520&lt;&gt;"")*(AK520="-")),IF(AG520="X",Übersicht!$C$70,Übersicht!$C$69),"-")</f>
        <v>-</v>
      </c>
      <c r="AA520" s="252" t="str">
        <f>IF((($A520="")*($B520=""))+((MID($Y520,1,4)&lt;&gt;"Wahl")*(Deckblatt!$C$14='WK-Vorlagen'!$C$82))+(Deckblatt!$C$14&lt;&gt;'WK-Vorlagen'!$C$82),"",IF(ISERROR(MATCH(VALUE(MID(G520,1,2)),Schwierigkeitsstufen!$G$7:$G$19,0)),"Gerät falsch",LOOKUP(VALUE(MID(G520,1,2)),Schwierigkeitsstufen!$G$7:$G$19,Schwierigkeitsstufen!$H$7:$H$19)))</f>
        <v/>
      </c>
      <c r="AB520" s="250" t="str">
        <f>IF((($A520="")*($B520=""))+((MID($Y520,1,4)&lt;&gt;"Wahl")*(Deckblatt!$C$14='WK-Vorlagen'!$C$82))+(Deckblatt!$C$14&lt;&gt;'WK-Vorlagen'!$C$82),"",IF(ISERROR(MATCH(VALUE(MID(H520,1,2)),Schwierigkeitsstufen!$G$7:$G$19,0)),"Gerät falsch",LOOKUP(VALUE(MID(H520,1,2)),Schwierigkeitsstufen!$G$7:$G$19,Schwierigkeitsstufen!$H$7:$H$19)))</f>
        <v/>
      </c>
      <c r="AC520" s="250" t="str">
        <f>IF((($A520="")*($B520=""))+((MID($Y520,1,4)&lt;&gt;"Wahl")*(Deckblatt!$C$14='WK-Vorlagen'!$C$82))+(Deckblatt!$C$14&lt;&gt;'WK-Vorlagen'!$C$82),"",IF(ISERROR(MATCH(VALUE(MID(I520,1,2)),Schwierigkeitsstufen!$G$7:$G$19,0)),"Gerät falsch",LOOKUP(VALUE(MID(I520,1,2)),Schwierigkeitsstufen!$G$7:$G$19,Schwierigkeitsstufen!$H$7:$H$19)))</f>
        <v/>
      </c>
      <c r="AD520" s="251" t="str">
        <f>IF((($A520="")*($B520=""))+((MID($Y520,1,4)&lt;&gt;"Wahl")*(Deckblatt!$C$14='WK-Vorlagen'!$C$82))+(Deckblatt!$C$14&lt;&gt;'WK-Vorlagen'!$C$82),"",IF(ISERROR(MATCH(VALUE(MID(J520,1,2)),Schwierigkeitsstufen!$G$7:$G$19,0)),"Gerät falsch",LOOKUP(VALUE(MID(J520,1,2)),Schwierigkeitsstufen!$G$7:$G$19,Schwierigkeitsstufen!$H$7:$H$19)))</f>
        <v/>
      </c>
      <c r="AE520" s="211"/>
      <c r="AG520" s="221" t="str">
        <f t="shared" si="72"/>
        <v/>
      </c>
      <c r="AH520" s="222" t="str">
        <f t="shared" si="74"/>
        <v/>
      </c>
      <c r="AI520" s="220">
        <f t="shared" si="79"/>
        <v>4</v>
      </c>
      <c r="AJ520" s="222">
        <f t="shared" si="75"/>
        <v>0</v>
      </c>
      <c r="AK520" s="299" t="str">
        <f>IF(ISERROR(LOOKUP(E520,WKNrListe,Übersicht!$R$7:$R$46)),"-",LOOKUP(E520,WKNrListe,Übersicht!$R$7:$R$46))</f>
        <v>-</v>
      </c>
      <c r="AL520" s="299" t="str">
        <f t="shared" si="78"/>
        <v>-</v>
      </c>
      <c r="AM520" s="303"/>
      <c r="AN520" s="174" t="str">
        <f t="shared" si="71"/>
        <v>Leer</v>
      </c>
    </row>
    <row r="521" spans="1:40" s="174" customFormat="1" ht="15" customHeight="1">
      <c r="A521" s="63"/>
      <c r="B521" s="63"/>
      <c r="C521" s="84"/>
      <c r="D521" s="85"/>
      <c r="E521" s="62"/>
      <c r="F521" s="62"/>
      <c r="G521" s="62"/>
      <c r="H521" s="62"/>
      <c r="I521" s="62"/>
      <c r="J521" s="62"/>
      <c r="K521" s="62"/>
      <c r="L521" s="62"/>
      <c r="M521" s="62"/>
      <c r="N521" s="62"/>
      <c r="O521" s="62"/>
      <c r="P521" s="62"/>
      <c r="Q521" s="62"/>
      <c r="R521" s="62"/>
      <c r="S521" s="258"/>
      <c r="T521" s="248" t="str">
        <f t="shared" si="76"/>
        <v/>
      </c>
      <c r="U521" s="249" t="str">
        <f t="shared" si="77"/>
        <v/>
      </c>
      <c r="V521" s="294" t="str">
        <f t="shared" si="73"/>
        <v/>
      </c>
      <c r="W521" s="294" t="str">
        <f>IF(((E521="")+(F521="")),"",IF(VLOOKUP(F521,Mannschaften!$A$1:$B$54,2,FALSE)&lt;&gt;E521,"Reiter Mannschaften füllen",""))</f>
        <v/>
      </c>
      <c r="X521" s="248" t="str">
        <f>IF(ISBLANK(C521),"",IF((U521&gt;(LOOKUP(E521,WKNrListe,Übersicht!$O$7:$O$46)))+(U521&lt;(LOOKUP(E521,WKNrListe,Übersicht!$P$7:$P$46))),"JG falsch",""))</f>
        <v/>
      </c>
      <c r="Y521" s="255" t="str">
        <f>IF((A521="")*(B521=""),"",IF(ISERROR(MATCH(E521,WKNrListe,0)),"WK falsch",LOOKUP(E521,WKNrListe,Übersicht!$B$7:$B$46)))</f>
        <v/>
      </c>
      <c r="Z521" s="269" t="str">
        <f>IF(((AJ521=0)*(AH521&lt;&gt;"")*(AK521="-"))+((AJ521&lt;&gt;0)*(AH521&lt;&gt;"")*(AK521="-")),IF(AG521="X",Übersicht!$C$70,Übersicht!$C$69),"-")</f>
        <v>-</v>
      </c>
      <c r="AA521" s="252" t="str">
        <f>IF((($A521="")*($B521=""))+((MID($Y521,1,4)&lt;&gt;"Wahl")*(Deckblatt!$C$14='WK-Vorlagen'!$C$82))+(Deckblatt!$C$14&lt;&gt;'WK-Vorlagen'!$C$82),"",IF(ISERROR(MATCH(VALUE(MID(G521,1,2)),Schwierigkeitsstufen!$G$7:$G$19,0)),"Gerät falsch",LOOKUP(VALUE(MID(G521,1,2)),Schwierigkeitsstufen!$G$7:$G$19,Schwierigkeitsstufen!$H$7:$H$19)))</f>
        <v/>
      </c>
      <c r="AB521" s="250" t="str">
        <f>IF((($A521="")*($B521=""))+((MID($Y521,1,4)&lt;&gt;"Wahl")*(Deckblatt!$C$14='WK-Vorlagen'!$C$82))+(Deckblatt!$C$14&lt;&gt;'WK-Vorlagen'!$C$82),"",IF(ISERROR(MATCH(VALUE(MID(H521,1,2)),Schwierigkeitsstufen!$G$7:$G$19,0)),"Gerät falsch",LOOKUP(VALUE(MID(H521,1,2)),Schwierigkeitsstufen!$G$7:$G$19,Schwierigkeitsstufen!$H$7:$H$19)))</f>
        <v/>
      </c>
      <c r="AC521" s="250" t="str">
        <f>IF((($A521="")*($B521=""))+((MID($Y521,1,4)&lt;&gt;"Wahl")*(Deckblatt!$C$14='WK-Vorlagen'!$C$82))+(Deckblatt!$C$14&lt;&gt;'WK-Vorlagen'!$C$82),"",IF(ISERROR(MATCH(VALUE(MID(I521,1,2)),Schwierigkeitsstufen!$G$7:$G$19,0)),"Gerät falsch",LOOKUP(VALUE(MID(I521,1,2)),Schwierigkeitsstufen!$G$7:$G$19,Schwierigkeitsstufen!$H$7:$H$19)))</f>
        <v/>
      </c>
      <c r="AD521" s="251" t="str">
        <f>IF((($A521="")*($B521=""))+((MID($Y521,1,4)&lt;&gt;"Wahl")*(Deckblatt!$C$14='WK-Vorlagen'!$C$82))+(Deckblatt!$C$14&lt;&gt;'WK-Vorlagen'!$C$82),"",IF(ISERROR(MATCH(VALUE(MID(J521,1,2)),Schwierigkeitsstufen!$G$7:$G$19,0)),"Gerät falsch",LOOKUP(VALUE(MID(J521,1,2)),Schwierigkeitsstufen!$G$7:$G$19,Schwierigkeitsstufen!$H$7:$H$19)))</f>
        <v/>
      </c>
      <c r="AE521" s="211"/>
      <c r="AG521" s="221" t="str">
        <f t="shared" si="72"/>
        <v/>
      </c>
      <c r="AH521" s="222" t="str">
        <f t="shared" si="74"/>
        <v/>
      </c>
      <c r="AI521" s="220">
        <f t="shared" si="79"/>
        <v>4</v>
      </c>
      <c r="AJ521" s="222">
        <f t="shared" si="75"/>
        <v>0</v>
      </c>
      <c r="AK521" s="299" t="str">
        <f>IF(ISERROR(LOOKUP(E521,WKNrListe,Übersicht!$R$7:$R$46)),"-",LOOKUP(E521,WKNrListe,Übersicht!$R$7:$R$46))</f>
        <v>-</v>
      </c>
      <c r="AL521" s="299" t="str">
        <f t="shared" si="78"/>
        <v>-</v>
      </c>
      <c r="AM521" s="303"/>
      <c r="AN521" s="174" t="str">
        <f t="shared" si="71"/>
        <v>Leer</v>
      </c>
    </row>
    <row r="522" spans="1:40" s="174" customFormat="1" ht="15" customHeight="1">
      <c r="A522" s="63"/>
      <c r="B522" s="63"/>
      <c r="C522" s="84"/>
      <c r="D522" s="85"/>
      <c r="E522" s="62"/>
      <c r="F522" s="62"/>
      <c r="G522" s="62"/>
      <c r="H522" s="62"/>
      <c r="I522" s="62"/>
      <c r="J522" s="62"/>
      <c r="K522" s="62"/>
      <c r="L522" s="62"/>
      <c r="M522" s="62"/>
      <c r="N522" s="62"/>
      <c r="O522" s="62"/>
      <c r="P522" s="62"/>
      <c r="Q522" s="62"/>
      <c r="R522" s="62"/>
      <c r="S522" s="258"/>
      <c r="T522" s="248" t="str">
        <f t="shared" si="76"/>
        <v/>
      </c>
      <c r="U522" s="249" t="str">
        <f t="shared" si="77"/>
        <v/>
      </c>
      <c r="V522" s="294" t="str">
        <f t="shared" si="73"/>
        <v/>
      </c>
      <c r="W522" s="294" t="str">
        <f>IF(((E522="")+(F522="")),"",IF(VLOOKUP(F522,Mannschaften!$A$1:$B$54,2,FALSE)&lt;&gt;E522,"Reiter Mannschaften füllen",""))</f>
        <v/>
      </c>
      <c r="X522" s="248" t="str">
        <f>IF(ISBLANK(C522),"",IF((U522&gt;(LOOKUP(E522,WKNrListe,Übersicht!$O$7:$O$46)))+(U522&lt;(LOOKUP(E522,WKNrListe,Übersicht!$P$7:$P$46))),"JG falsch",""))</f>
        <v/>
      </c>
      <c r="Y522" s="255" t="str">
        <f>IF((A522="")*(B522=""),"",IF(ISERROR(MATCH(E522,WKNrListe,0)),"WK falsch",LOOKUP(E522,WKNrListe,Übersicht!$B$7:$B$46)))</f>
        <v/>
      </c>
      <c r="Z522" s="269" t="str">
        <f>IF(((AJ522=0)*(AH522&lt;&gt;"")*(AK522="-"))+((AJ522&lt;&gt;0)*(AH522&lt;&gt;"")*(AK522="-")),IF(AG522="X",Übersicht!$C$70,Übersicht!$C$69),"-")</f>
        <v>-</v>
      </c>
      <c r="AA522" s="252" t="str">
        <f>IF((($A522="")*($B522=""))+((MID($Y522,1,4)&lt;&gt;"Wahl")*(Deckblatt!$C$14='WK-Vorlagen'!$C$82))+(Deckblatt!$C$14&lt;&gt;'WK-Vorlagen'!$C$82),"",IF(ISERROR(MATCH(VALUE(MID(G522,1,2)),Schwierigkeitsstufen!$G$7:$G$19,0)),"Gerät falsch",LOOKUP(VALUE(MID(G522,1,2)),Schwierigkeitsstufen!$G$7:$G$19,Schwierigkeitsstufen!$H$7:$H$19)))</f>
        <v/>
      </c>
      <c r="AB522" s="250" t="str">
        <f>IF((($A522="")*($B522=""))+((MID($Y522,1,4)&lt;&gt;"Wahl")*(Deckblatt!$C$14='WK-Vorlagen'!$C$82))+(Deckblatt!$C$14&lt;&gt;'WK-Vorlagen'!$C$82),"",IF(ISERROR(MATCH(VALUE(MID(H522,1,2)),Schwierigkeitsstufen!$G$7:$G$19,0)),"Gerät falsch",LOOKUP(VALUE(MID(H522,1,2)),Schwierigkeitsstufen!$G$7:$G$19,Schwierigkeitsstufen!$H$7:$H$19)))</f>
        <v/>
      </c>
      <c r="AC522" s="250" t="str">
        <f>IF((($A522="")*($B522=""))+((MID($Y522,1,4)&lt;&gt;"Wahl")*(Deckblatt!$C$14='WK-Vorlagen'!$C$82))+(Deckblatt!$C$14&lt;&gt;'WK-Vorlagen'!$C$82),"",IF(ISERROR(MATCH(VALUE(MID(I522,1,2)),Schwierigkeitsstufen!$G$7:$G$19,0)),"Gerät falsch",LOOKUP(VALUE(MID(I522,1,2)),Schwierigkeitsstufen!$G$7:$G$19,Schwierigkeitsstufen!$H$7:$H$19)))</f>
        <v/>
      </c>
      <c r="AD522" s="251" t="str">
        <f>IF((($A522="")*($B522=""))+((MID($Y522,1,4)&lt;&gt;"Wahl")*(Deckblatt!$C$14='WK-Vorlagen'!$C$82))+(Deckblatt!$C$14&lt;&gt;'WK-Vorlagen'!$C$82),"",IF(ISERROR(MATCH(VALUE(MID(J522,1,2)),Schwierigkeitsstufen!$G$7:$G$19,0)),"Gerät falsch",LOOKUP(VALUE(MID(J522,1,2)),Schwierigkeitsstufen!$G$7:$G$19,Schwierigkeitsstufen!$H$7:$H$19)))</f>
        <v/>
      </c>
      <c r="AE522" s="211"/>
      <c r="AG522" s="221" t="str">
        <f t="shared" si="72"/>
        <v/>
      </c>
      <c r="AH522" s="222" t="str">
        <f t="shared" si="74"/>
        <v/>
      </c>
      <c r="AI522" s="220">
        <f t="shared" si="79"/>
        <v>4</v>
      </c>
      <c r="AJ522" s="222">
        <f t="shared" si="75"/>
        <v>0</v>
      </c>
      <c r="AK522" s="299" t="str">
        <f>IF(ISERROR(LOOKUP(E522,WKNrListe,Übersicht!$R$7:$R$46)),"-",LOOKUP(E522,WKNrListe,Übersicht!$R$7:$R$46))</f>
        <v>-</v>
      </c>
      <c r="AL522" s="299" t="str">
        <f t="shared" si="78"/>
        <v>-</v>
      </c>
      <c r="AM522" s="303"/>
      <c r="AN522" s="174" t="str">
        <f t="shared" si="71"/>
        <v>Leer</v>
      </c>
    </row>
    <row r="523" spans="1:40" s="174" customFormat="1" ht="15" customHeight="1">
      <c r="A523" s="63"/>
      <c r="B523" s="63"/>
      <c r="C523" s="84"/>
      <c r="D523" s="85"/>
      <c r="E523" s="62"/>
      <c r="F523" s="62"/>
      <c r="G523" s="62"/>
      <c r="H523" s="62"/>
      <c r="I523" s="62"/>
      <c r="J523" s="62"/>
      <c r="K523" s="62"/>
      <c r="L523" s="62"/>
      <c r="M523" s="62"/>
      <c r="N523" s="62"/>
      <c r="O523" s="62"/>
      <c r="P523" s="62"/>
      <c r="Q523" s="62"/>
      <c r="R523" s="62"/>
      <c r="S523" s="258"/>
      <c r="T523" s="248" t="str">
        <f t="shared" si="76"/>
        <v/>
      </c>
      <c r="U523" s="249" t="str">
        <f t="shared" si="77"/>
        <v/>
      </c>
      <c r="V523" s="294" t="str">
        <f t="shared" si="73"/>
        <v/>
      </c>
      <c r="W523" s="294" t="str">
        <f>IF(((E523="")+(F523="")),"",IF(VLOOKUP(F523,Mannschaften!$A$1:$B$54,2,FALSE)&lt;&gt;E523,"Reiter Mannschaften füllen",""))</f>
        <v/>
      </c>
      <c r="X523" s="248" t="str">
        <f>IF(ISBLANK(C523),"",IF((U523&gt;(LOOKUP(E523,WKNrListe,Übersicht!$O$7:$O$46)))+(U523&lt;(LOOKUP(E523,WKNrListe,Übersicht!$P$7:$P$46))),"JG falsch",""))</f>
        <v/>
      </c>
      <c r="Y523" s="255" t="str">
        <f>IF((A523="")*(B523=""),"",IF(ISERROR(MATCH(E523,WKNrListe,0)),"WK falsch",LOOKUP(E523,WKNrListe,Übersicht!$B$7:$B$46)))</f>
        <v/>
      </c>
      <c r="Z523" s="269" t="str">
        <f>IF(((AJ523=0)*(AH523&lt;&gt;"")*(AK523="-"))+((AJ523&lt;&gt;0)*(AH523&lt;&gt;"")*(AK523="-")),IF(AG523="X",Übersicht!$C$70,Übersicht!$C$69),"-")</f>
        <v>-</v>
      </c>
      <c r="AA523" s="252" t="str">
        <f>IF((($A523="")*($B523=""))+((MID($Y523,1,4)&lt;&gt;"Wahl")*(Deckblatt!$C$14='WK-Vorlagen'!$C$82))+(Deckblatt!$C$14&lt;&gt;'WK-Vorlagen'!$C$82),"",IF(ISERROR(MATCH(VALUE(MID(G523,1,2)),Schwierigkeitsstufen!$G$7:$G$19,0)),"Gerät falsch",LOOKUP(VALUE(MID(G523,1,2)),Schwierigkeitsstufen!$G$7:$G$19,Schwierigkeitsstufen!$H$7:$H$19)))</f>
        <v/>
      </c>
      <c r="AB523" s="250" t="str">
        <f>IF((($A523="")*($B523=""))+((MID($Y523,1,4)&lt;&gt;"Wahl")*(Deckblatt!$C$14='WK-Vorlagen'!$C$82))+(Deckblatt!$C$14&lt;&gt;'WK-Vorlagen'!$C$82),"",IF(ISERROR(MATCH(VALUE(MID(H523,1,2)),Schwierigkeitsstufen!$G$7:$G$19,0)),"Gerät falsch",LOOKUP(VALUE(MID(H523,1,2)),Schwierigkeitsstufen!$G$7:$G$19,Schwierigkeitsstufen!$H$7:$H$19)))</f>
        <v/>
      </c>
      <c r="AC523" s="250" t="str">
        <f>IF((($A523="")*($B523=""))+((MID($Y523,1,4)&lt;&gt;"Wahl")*(Deckblatt!$C$14='WK-Vorlagen'!$C$82))+(Deckblatt!$C$14&lt;&gt;'WK-Vorlagen'!$C$82),"",IF(ISERROR(MATCH(VALUE(MID(I523,1,2)),Schwierigkeitsstufen!$G$7:$G$19,0)),"Gerät falsch",LOOKUP(VALUE(MID(I523,1,2)),Schwierigkeitsstufen!$G$7:$G$19,Schwierigkeitsstufen!$H$7:$H$19)))</f>
        <v/>
      </c>
      <c r="AD523" s="251" t="str">
        <f>IF((($A523="")*($B523=""))+((MID($Y523,1,4)&lt;&gt;"Wahl")*(Deckblatt!$C$14='WK-Vorlagen'!$C$82))+(Deckblatt!$C$14&lt;&gt;'WK-Vorlagen'!$C$82),"",IF(ISERROR(MATCH(VALUE(MID(J523,1,2)),Schwierigkeitsstufen!$G$7:$G$19,0)),"Gerät falsch",LOOKUP(VALUE(MID(J523,1,2)),Schwierigkeitsstufen!$G$7:$G$19,Schwierigkeitsstufen!$H$7:$H$19)))</f>
        <v/>
      </c>
      <c r="AE523" s="211"/>
      <c r="AG523" s="221" t="str">
        <f t="shared" si="72"/>
        <v/>
      </c>
      <c r="AH523" s="222" t="str">
        <f t="shared" si="74"/>
        <v/>
      </c>
      <c r="AI523" s="220">
        <f t="shared" si="79"/>
        <v>4</v>
      </c>
      <c r="AJ523" s="222">
        <f t="shared" si="75"/>
        <v>0</v>
      </c>
      <c r="AK523" s="299" t="str">
        <f>IF(ISERROR(LOOKUP(E523,WKNrListe,Übersicht!$R$7:$R$46)),"-",LOOKUP(E523,WKNrListe,Übersicht!$R$7:$R$46))</f>
        <v>-</v>
      </c>
      <c r="AL523" s="299" t="str">
        <f t="shared" si="78"/>
        <v>-</v>
      </c>
      <c r="AM523" s="303"/>
      <c r="AN523" s="174" t="str">
        <f t="shared" si="71"/>
        <v>Leer</v>
      </c>
    </row>
    <row r="524" spans="1:40" s="174" customFormat="1" ht="15" customHeight="1">
      <c r="A524" s="63"/>
      <c r="B524" s="63"/>
      <c r="C524" s="84"/>
      <c r="D524" s="85"/>
      <c r="E524" s="62"/>
      <c r="F524" s="62"/>
      <c r="G524" s="62"/>
      <c r="H524" s="62"/>
      <c r="I524" s="62"/>
      <c r="J524" s="62"/>
      <c r="K524" s="62"/>
      <c r="L524" s="62"/>
      <c r="M524" s="62"/>
      <c r="N524" s="62"/>
      <c r="O524" s="62"/>
      <c r="P524" s="62"/>
      <c r="Q524" s="62"/>
      <c r="R524" s="62"/>
      <c r="S524" s="258"/>
      <c r="T524" s="248" t="str">
        <f t="shared" si="76"/>
        <v/>
      </c>
      <c r="U524" s="249" t="str">
        <f t="shared" si="77"/>
        <v/>
      </c>
      <c r="V524" s="294" t="str">
        <f t="shared" si="73"/>
        <v/>
      </c>
      <c r="W524" s="294" t="str">
        <f>IF(((E524="")+(F524="")),"",IF(VLOOKUP(F524,Mannschaften!$A$1:$B$54,2,FALSE)&lt;&gt;E524,"Reiter Mannschaften füllen",""))</f>
        <v/>
      </c>
      <c r="X524" s="248" t="str">
        <f>IF(ISBLANK(C524),"",IF((U524&gt;(LOOKUP(E524,WKNrListe,Übersicht!$O$7:$O$46)))+(U524&lt;(LOOKUP(E524,WKNrListe,Übersicht!$P$7:$P$46))),"JG falsch",""))</f>
        <v/>
      </c>
      <c r="Y524" s="255" t="str">
        <f>IF((A524="")*(B524=""),"",IF(ISERROR(MATCH(E524,WKNrListe,0)),"WK falsch",LOOKUP(E524,WKNrListe,Übersicht!$B$7:$B$46)))</f>
        <v/>
      </c>
      <c r="Z524" s="269" t="str">
        <f>IF(((AJ524=0)*(AH524&lt;&gt;"")*(AK524="-"))+((AJ524&lt;&gt;0)*(AH524&lt;&gt;"")*(AK524="-")),IF(AG524="X",Übersicht!$C$70,Übersicht!$C$69),"-")</f>
        <v>-</v>
      </c>
      <c r="AA524" s="252" t="str">
        <f>IF((($A524="")*($B524=""))+((MID($Y524,1,4)&lt;&gt;"Wahl")*(Deckblatt!$C$14='WK-Vorlagen'!$C$82))+(Deckblatt!$C$14&lt;&gt;'WK-Vorlagen'!$C$82),"",IF(ISERROR(MATCH(VALUE(MID(G524,1,2)),Schwierigkeitsstufen!$G$7:$G$19,0)),"Gerät falsch",LOOKUP(VALUE(MID(G524,1,2)),Schwierigkeitsstufen!$G$7:$G$19,Schwierigkeitsstufen!$H$7:$H$19)))</f>
        <v/>
      </c>
      <c r="AB524" s="250" t="str">
        <f>IF((($A524="")*($B524=""))+((MID($Y524,1,4)&lt;&gt;"Wahl")*(Deckblatt!$C$14='WK-Vorlagen'!$C$82))+(Deckblatt!$C$14&lt;&gt;'WK-Vorlagen'!$C$82),"",IF(ISERROR(MATCH(VALUE(MID(H524,1,2)),Schwierigkeitsstufen!$G$7:$G$19,0)),"Gerät falsch",LOOKUP(VALUE(MID(H524,1,2)),Schwierigkeitsstufen!$G$7:$G$19,Schwierigkeitsstufen!$H$7:$H$19)))</f>
        <v/>
      </c>
      <c r="AC524" s="250" t="str">
        <f>IF((($A524="")*($B524=""))+((MID($Y524,1,4)&lt;&gt;"Wahl")*(Deckblatt!$C$14='WK-Vorlagen'!$C$82))+(Deckblatt!$C$14&lt;&gt;'WK-Vorlagen'!$C$82),"",IF(ISERROR(MATCH(VALUE(MID(I524,1,2)),Schwierigkeitsstufen!$G$7:$G$19,0)),"Gerät falsch",LOOKUP(VALUE(MID(I524,1,2)),Schwierigkeitsstufen!$G$7:$G$19,Schwierigkeitsstufen!$H$7:$H$19)))</f>
        <v/>
      </c>
      <c r="AD524" s="251" t="str">
        <f>IF((($A524="")*($B524=""))+((MID($Y524,1,4)&lt;&gt;"Wahl")*(Deckblatt!$C$14='WK-Vorlagen'!$C$82))+(Deckblatt!$C$14&lt;&gt;'WK-Vorlagen'!$C$82),"",IF(ISERROR(MATCH(VALUE(MID(J524,1,2)),Schwierigkeitsstufen!$G$7:$G$19,0)),"Gerät falsch",LOOKUP(VALUE(MID(J524,1,2)),Schwierigkeitsstufen!$G$7:$G$19,Schwierigkeitsstufen!$H$7:$H$19)))</f>
        <v/>
      </c>
      <c r="AE524" s="211"/>
      <c r="AG524" s="221" t="str">
        <f t="shared" si="72"/>
        <v/>
      </c>
      <c r="AH524" s="222" t="str">
        <f t="shared" si="74"/>
        <v/>
      </c>
      <c r="AI524" s="220">
        <f t="shared" si="79"/>
        <v>4</v>
      </c>
      <c r="AJ524" s="222">
        <f t="shared" si="75"/>
        <v>0</v>
      </c>
      <c r="AK524" s="299" t="str">
        <f>IF(ISERROR(LOOKUP(E524,WKNrListe,Übersicht!$R$7:$R$46)),"-",LOOKUP(E524,WKNrListe,Übersicht!$R$7:$R$46))</f>
        <v>-</v>
      </c>
      <c r="AL524" s="299" t="str">
        <f t="shared" si="78"/>
        <v>-</v>
      </c>
      <c r="AM524" s="303"/>
      <c r="AN524" s="174" t="str">
        <f t="shared" si="71"/>
        <v>Leer</v>
      </c>
    </row>
    <row r="525" spans="1:40" s="174" customFormat="1" ht="15" customHeight="1">
      <c r="A525" s="63"/>
      <c r="B525" s="63"/>
      <c r="C525" s="84"/>
      <c r="D525" s="85"/>
      <c r="E525" s="62"/>
      <c r="F525" s="62"/>
      <c r="G525" s="62"/>
      <c r="H525" s="62"/>
      <c r="I525" s="62"/>
      <c r="J525" s="62"/>
      <c r="K525" s="62"/>
      <c r="L525" s="62"/>
      <c r="M525" s="62"/>
      <c r="N525" s="62"/>
      <c r="O525" s="62"/>
      <c r="P525" s="62"/>
      <c r="Q525" s="62"/>
      <c r="R525" s="62"/>
      <c r="S525" s="258"/>
      <c r="T525" s="248" t="str">
        <f t="shared" si="76"/>
        <v/>
      </c>
      <c r="U525" s="249" t="str">
        <f t="shared" si="77"/>
        <v/>
      </c>
      <c r="V525" s="294" t="str">
        <f t="shared" si="73"/>
        <v/>
      </c>
      <c r="W525" s="294" t="str">
        <f>IF(((E525="")+(F525="")),"",IF(VLOOKUP(F525,Mannschaften!$A$1:$B$54,2,FALSE)&lt;&gt;E525,"Reiter Mannschaften füllen",""))</f>
        <v/>
      </c>
      <c r="X525" s="248" t="str">
        <f>IF(ISBLANK(C525),"",IF((U525&gt;(LOOKUP(E525,WKNrListe,Übersicht!$O$7:$O$46)))+(U525&lt;(LOOKUP(E525,WKNrListe,Übersicht!$P$7:$P$46))),"JG falsch",""))</f>
        <v/>
      </c>
      <c r="Y525" s="255" t="str">
        <f>IF((A525="")*(B525=""),"",IF(ISERROR(MATCH(E525,WKNrListe,0)),"WK falsch",LOOKUP(E525,WKNrListe,Übersicht!$B$7:$B$46)))</f>
        <v/>
      </c>
      <c r="Z525" s="269" t="str">
        <f>IF(((AJ525=0)*(AH525&lt;&gt;"")*(AK525="-"))+((AJ525&lt;&gt;0)*(AH525&lt;&gt;"")*(AK525="-")),IF(AG525="X",Übersicht!$C$70,Übersicht!$C$69),"-")</f>
        <v>-</v>
      </c>
      <c r="AA525" s="252" t="str">
        <f>IF((($A525="")*($B525=""))+((MID($Y525,1,4)&lt;&gt;"Wahl")*(Deckblatt!$C$14='WK-Vorlagen'!$C$82))+(Deckblatt!$C$14&lt;&gt;'WK-Vorlagen'!$C$82),"",IF(ISERROR(MATCH(VALUE(MID(G525,1,2)),Schwierigkeitsstufen!$G$7:$G$19,0)),"Gerät falsch",LOOKUP(VALUE(MID(G525,1,2)),Schwierigkeitsstufen!$G$7:$G$19,Schwierigkeitsstufen!$H$7:$H$19)))</f>
        <v/>
      </c>
      <c r="AB525" s="250" t="str">
        <f>IF((($A525="")*($B525=""))+((MID($Y525,1,4)&lt;&gt;"Wahl")*(Deckblatt!$C$14='WK-Vorlagen'!$C$82))+(Deckblatt!$C$14&lt;&gt;'WK-Vorlagen'!$C$82),"",IF(ISERROR(MATCH(VALUE(MID(H525,1,2)),Schwierigkeitsstufen!$G$7:$G$19,0)),"Gerät falsch",LOOKUP(VALUE(MID(H525,1,2)),Schwierigkeitsstufen!$G$7:$G$19,Schwierigkeitsstufen!$H$7:$H$19)))</f>
        <v/>
      </c>
      <c r="AC525" s="250" t="str">
        <f>IF((($A525="")*($B525=""))+((MID($Y525,1,4)&lt;&gt;"Wahl")*(Deckblatt!$C$14='WK-Vorlagen'!$C$82))+(Deckblatt!$C$14&lt;&gt;'WK-Vorlagen'!$C$82),"",IF(ISERROR(MATCH(VALUE(MID(I525,1,2)),Schwierigkeitsstufen!$G$7:$G$19,0)),"Gerät falsch",LOOKUP(VALUE(MID(I525,1,2)),Schwierigkeitsstufen!$G$7:$G$19,Schwierigkeitsstufen!$H$7:$H$19)))</f>
        <v/>
      </c>
      <c r="AD525" s="251" t="str">
        <f>IF((($A525="")*($B525=""))+((MID($Y525,1,4)&lt;&gt;"Wahl")*(Deckblatt!$C$14='WK-Vorlagen'!$C$82))+(Deckblatt!$C$14&lt;&gt;'WK-Vorlagen'!$C$82),"",IF(ISERROR(MATCH(VALUE(MID(J525,1,2)),Schwierigkeitsstufen!$G$7:$G$19,0)),"Gerät falsch",LOOKUP(VALUE(MID(J525,1,2)),Schwierigkeitsstufen!$G$7:$G$19,Schwierigkeitsstufen!$H$7:$H$19)))</f>
        <v/>
      </c>
      <c r="AE525" s="211"/>
      <c r="AG525" s="221" t="str">
        <f t="shared" si="72"/>
        <v/>
      </c>
      <c r="AH525" s="222" t="str">
        <f t="shared" si="74"/>
        <v/>
      </c>
      <c r="AI525" s="220">
        <f t="shared" si="79"/>
        <v>4</v>
      </c>
      <c r="AJ525" s="222">
        <f t="shared" si="75"/>
        <v>0</v>
      </c>
      <c r="AK525" s="299" t="str">
        <f>IF(ISERROR(LOOKUP(E525,WKNrListe,Übersicht!$R$7:$R$46)),"-",LOOKUP(E525,WKNrListe,Übersicht!$R$7:$R$46))</f>
        <v>-</v>
      </c>
      <c r="AL525" s="299" t="str">
        <f t="shared" si="78"/>
        <v>-</v>
      </c>
      <c r="AM525" s="303"/>
      <c r="AN525" s="174" t="str">
        <f t="shared" si="71"/>
        <v>Leer</v>
      </c>
    </row>
    <row r="526" spans="1:40" s="174" customFormat="1" ht="15" customHeight="1">
      <c r="A526" s="63"/>
      <c r="B526" s="63"/>
      <c r="C526" s="84"/>
      <c r="D526" s="85"/>
      <c r="E526" s="62"/>
      <c r="F526" s="62"/>
      <c r="G526" s="62"/>
      <c r="H526" s="62"/>
      <c r="I526" s="62"/>
      <c r="J526" s="62"/>
      <c r="K526" s="62"/>
      <c r="L526" s="62"/>
      <c r="M526" s="62"/>
      <c r="N526" s="62"/>
      <c r="O526" s="62"/>
      <c r="P526" s="62"/>
      <c r="Q526" s="62"/>
      <c r="R526" s="62"/>
      <c r="S526" s="258"/>
      <c r="T526" s="248" t="str">
        <f t="shared" si="76"/>
        <v/>
      </c>
      <c r="U526" s="249" t="str">
        <f t="shared" si="77"/>
        <v/>
      </c>
      <c r="V526" s="294" t="str">
        <f t="shared" si="73"/>
        <v/>
      </c>
      <c r="W526" s="294" t="str">
        <f>IF(((E526="")+(F526="")),"",IF(VLOOKUP(F526,Mannschaften!$A$1:$B$54,2,FALSE)&lt;&gt;E526,"Reiter Mannschaften füllen",""))</f>
        <v/>
      </c>
      <c r="X526" s="248" t="str">
        <f>IF(ISBLANK(C526),"",IF((U526&gt;(LOOKUP(E526,WKNrListe,Übersicht!$O$7:$O$46)))+(U526&lt;(LOOKUP(E526,WKNrListe,Übersicht!$P$7:$P$46))),"JG falsch",""))</f>
        <v/>
      </c>
      <c r="Y526" s="255" t="str">
        <f>IF((A526="")*(B526=""),"",IF(ISERROR(MATCH(E526,WKNrListe,0)),"WK falsch",LOOKUP(E526,WKNrListe,Übersicht!$B$7:$B$46)))</f>
        <v/>
      </c>
      <c r="Z526" s="269" t="str">
        <f>IF(((AJ526=0)*(AH526&lt;&gt;"")*(AK526="-"))+((AJ526&lt;&gt;0)*(AH526&lt;&gt;"")*(AK526="-")),IF(AG526="X",Übersicht!$C$70,Übersicht!$C$69),"-")</f>
        <v>-</v>
      </c>
      <c r="AA526" s="252" t="str">
        <f>IF((($A526="")*($B526=""))+((MID($Y526,1,4)&lt;&gt;"Wahl")*(Deckblatt!$C$14='WK-Vorlagen'!$C$82))+(Deckblatt!$C$14&lt;&gt;'WK-Vorlagen'!$C$82),"",IF(ISERROR(MATCH(VALUE(MID(G526,1,2)),Schwierigkeitsstufen!$G$7:$G$19,0)),"Gerät falsch",LOOKUP(VALUE(MID(G526,1,2)),Schwierigkeitsstufen!$G$7:$G$19,Schwierigkeitsstufen!$H$7:$H$19)))</f>
        <v/>
      </c>
      <c r="AB526" s="250" t="str">
        <f>IF((($A526="")*($B526=""))+((MID($Y526,1,4)&lt;&gt;"Wahl")*(Deckblatt!$C$14='WK-Vorlagen'!$C$82))+(Deckblatt!$C$14&lt;&gt;'WK-Vorlagen'!$C$82),"",IF(ISERROR(MATCH(VALUE(MID(H526,1,2)),Schwierigkeitsstufen!$G$7:$G$19,0)),"Gerät falsch",LOOKUP(VALUE(MID(H526,1,2)),Schwierigkeitsstufen!$G$7:$G$19,Schwierigkeitsstufen!$H$7:$H$19)))</f>
        <v/>
      </c>
      <c r="AC526" s="250" t="str">
        <f>IF((($A526="")*($B526=""))+((MID($Y526,1,4)&lt;&gt;"Wahl")*(Deckblatt!$C$14='WK-Vorlagen'!$C$82))+(Deckblatt!$C$14&lt;&gt;'WK-Vorlagen'!$C$82),"",IF(ISERROR(MATCH(VALUE(MID(I526,1,2)),Schwierigkeitsstufen!$G$7:$G$19,0)),"Gerät falsch",LOOKUP(VALUE(MID(I526,1,2)),Schwierigkeitsstufen!$G$7:$G$19,Schwierigkeitsstufen!$H$7:$H$19)))</f>
        <v/>
      </c>
      <c r="AD526" s="251" t="str">
        <f>IF((($A526="")*($B526=""))+((MID($Y526,1,4)&lt;&gt;"Wahl")*(Deckblatt!$C$14='WK-Vorlagen'!$C$82))+(Deckblatt!$C$14&lt;&gt;'WK-Vorlagen'!$C$82),"",IF(ISERROR(MATCH(VALUE(MID(J526,1,2)),Schwierigkeitsstufen!$G$7:$G$19,0)),"Gerät falsch",LOOKUP(VALUE(MID(J526,1,2)),Schwierigkeitsstufen!$G$7:$G$19,Schwierigkeitsstufen!$H$7:$H$19)))</f>
        <v/>
      </c>
      <c r="AE526" s="211"/>
      <c r="AG526" s="221" t="str">
        <f t="shared" si="72"/>
        <v/>
      </c>
      <c r="AH526" s="222" t="str">
        <f t="shared" si="74"/>
        <v/>
      </c>
      <c r="AI526" s="220">
        <f t="shared" si="79"/>
        <v>4</v>
      </c>
      <c r="AJ526" s="222">
        <f t="shared" si="75"/>
        <v>0</v>
      </c>
      <c r="AK526" s="299" t="str">
        <f>IF(ISERROR(LOOKUP(E526,WKNrListe,Übersicht!$R$7:$R$46)),"-",LOOKUP(E526,WKNrListe,Übersicht!$R$7:$R$46))</f>
        <v>-</v>
      </c>
      <c r="AL526" s="299" t="str">
        <f t="shared" si="78"/>
        <v>-</v>
      </c>
      <c r="AM526" s="303"/>
      <c r="AN526" s="174" t="str">
        <f t="shared" si="71"/>
        <v>Leer</v>
      </c>
    </row>
    <row r="527" spans="1:40" s="174" customFormat="1" ht="15" customHeight="1">
      <c r="A527" s="63"/>
      <c r="B527" s="63"/>
      <c r="C527" s="84"/>
      <c r="D527" s="85"/>
      <c r="E527" s="62"/>
      <c r="F527" s="62"/>
      <c r="G527" s="62"/>
      <c r="H527" s="62"/>
      <c r="I527" s="62"/>
      <c r="J527" s="62"/>
      <c r="K527" s="62"/>
      <c r="L527" s="62"/>
      <c r="M527" s="62"/>
      <c r="N527" s="62"/>
      <c r="O527" s="62"/>
      <c r="P527" s="62"/>
      <c r="Q527" s="62"/>
      <c r="R527" s="62"/>
      <c r="S527" s="258"/>
      <c r="T527" s="248" t="str">
        <f t="shared" si="76"/>
        <v/>
      </c>
      <c r="U527" s="249" t="str">
        <f t="shared" si="77"/>
        <v/>
      </c>
      <c r="V527" s="294" t="str">
        <f t="shared" si="73"/>
        <v/>
      </c>
      <c r="W527" s="294" t="str">
        <f>IF(((E527="")+(F527="")),"",IF(VLOOKUP(F527,Mannschaften!$A$1:$B$54,2,FALSE)&lt;&gt;E527,"Reiter Mannschaften füllen",""))</f>
        <v/>
      </c>
      <c r="X527" s="248" t="str">
        <f>IF(ISBLANK(C527),"",IF((U527&gt;(LOOKUP(E527,WKNrListe,Übersicht!$O$7:$O$46)))+(U527&lt;(LOOKUP(E527,WKNrListe,Übersicht!$P$7:$P$46))),"JG falsch",""))</f>
        <v/>
      </c>
      <c r="Y527" s="255" t="str">
        <f>IF((A527="")*(B527=""),"",IF(ISERROR(MATCH(E527,WKNrListe,0)),"WK falsch",LOOKUP(E527,WKNrListe,Übersicht!$B$7:$B$46)))</f>
        <v/>
      </c>
      <c r="Z527" s="269" t="str">
        <f>IF(((AJ527=0)*(AH527&lt;&gt;"")*(AK527="-"))+((AJ527&lt;&gt;0)*(AH527&lt;&gt;"")*(AK527="-")),IF(AG527="X",Übersicht!$C$70,Übersicht!$C$69),"-")</f>
        <v>-</v>
      </c>
      <c r="AA527" s="252" t="str">
        <f>IF((($A527="")*($B527=""))+((MID($Y527,1,4)&lt;&gt;"Wahl")*(Deckblatt!$C$14='WK-Vorlagen'!$C$82))+(Deckblatt!$C$14&lt;&gt;'WK-Vorlagen'!$C$82),"",IF(ISERROR(MATCH(VALUE(MID(G527,1,2)),Schwierigkeitsstufen!$G$7:$G$19,0)),"Gerät falsch",LOOKUP(VALUE(MID(G527,1,2)),Schwierigkeitsstufen!$G$7:$G$19,Schwierigkeitsstufen!$H$7:$H$19)))</f>
        <v/>
      </c>
      <c r="AB527" s="250" t="str">
        <f>IF((($A527="")*($B527=""))+((MID($Y527,1,4)&lt;&gt;"Wahl")*(Deckblatt!$C$14='WK-Vorlagen'!$C$82))+(Deckblatt!$C$14&lt;&gt;'WK-Vorlagen'!$C$82),"",IF(ISERROR(MATCH(VALUE(MID(H527,1,2)),Schwierigkeitsstufen!$G$7:$G$19,0)),"Gerät falsch",LOOKUP(VALUE(MID(H527,1,2)),Schwierigkeitsstufen!$G$7:$G$19,Schwierigkeitsstufen!$H$7:$H$19)))</f>
        <v/>
      </c>
      <c r="AC527" s="250" t="str">
        <f>IF((($A527="")*($B527=""))+((MID($Y527,1,4)&lt;&gt;"Wahl")*(Deckblatt!$C$14='WK-Vorlagen'!$C$82))+(Deckblatt!$C$14&lt;&gt;'WK-Vorlagen'!$C$82),"",IF(ISERROR(MATCH(VALUE(MID(I527,1,2)),Schwierigkeitsstufen!$G$7:$G$19,0)),"Gerät falsch",LOOKUP(VALUE(MID(I527,1,2)),Schwierigkeitsstufen!$G$7:$G$19,Schwierigkeitsstufen!$H$7:$H$19)))</f>
        <v/>
      </c>
      <c r="AD527" s="251" t="str">
        <f>IF((($A527="")*($B527=""))+((MID($Y527,1,4)&lt;&gt;"Wahl")*(Deckblatt!$C$14='WK-Vorlagen'!$C$82))+(Deckblatt!$C$14&lt;&gt;'WK-Vorlagen'!$C$82),"",IF(ISERROR(MATCH(VALUE(MID(J527,1,2)),Schwierigkeitsstufen!$G$7:$G$19,0)),"Gerät falsch",LOOKUP(VALUE(MID(J527,1,2)),Schwierigkeitsstufen!$G$7:$G$19,Schwierigkeitsstufen!$H$7:$H$19)))</f>
        <v/>
      </c>
      <c r="AE527" s="211"/>
      <c r="AG527" s="221" t="str">
        <f t="shared" si="72"/>
        <v/>
      </c>
      <c r="AH527" s="222" t="str">
        <f t="shared" si="74"/>
        <v/>
      </c>
      <c r="AI527" s="220">
        <f t="shared" si="79"/>
        <v>4</v>
      </c>
      <c r="AJ527" s="222">
        <f t="shared" si="75"/>
        <v>0</v>
      </c>
      <c r="AK527" s="299" t="str">
        <f>IF(ISERROR(LOOKUP(E527,WKNrListe,Übersicht!$R$7:$R$46)),"-",LOOKUP(E527,WKNrListe,Übersicht!$R$7:$R$46))</f>
        <v>-</v>
      </c>
      <c r="AL527" s="299" t="str">
        <f t="shared" si="78"/>
        <v>-</v>
      </c>
      <c r="AM527" s="303"/>
      <c r="AN527" s="174" t="str">
        <f t="shared" si="71"/>
        <v>Leer</v>
      </c>
    </row>
    <row r="528" spans="1:40" s="174" customFormat="1" ht="15" customHeight="1">
      <c r="A528" s="63"/>
      <c r="B528" s="63"/>
      <c r="C528" s="84"/>
      <c r="D528" s="85"/>
      <c r="E528" s="62"/>
      <c r="F528" s="62"/>
      <c r="G528" s="62"/>
      <c r="H528" s="62"/>
      <c r="I528" s="62"/>
      <c r="J528" s="62"/>
      <c r="K528" s="62"/>
      <c r="L528" s="62"/>
      <c r="M528" s="62"/>
      <c r="N528" s="62"/>
      <c r="O528" s="62"/>
      <c r="P528" s="62"/>
      <c r="Q528" s="62"/>
      <c r="R528" s="62"/>
      <c r="S528" s="258"/>
      <c r="T528" s="248" t="str">
        <f t="shared" si="76"/>
        <v/>
      </c>
      <c r="U528" s="249" t="str">
        <f t="shared" si="77"/>
        <v/>
      </c>
      <c r="V528" s="294" t="str">
        <f t="shared" si="73"/>
        <v/>
      </c>
      <c r="W528" s="294" t="str">
        <f>IF(((E528="")+(F528="")),"",IF(VLOOKUP(F528,Mannschaften!$A$1:$B$54,2,FALSE)&lt;&gt;E528,"Reiter Mannschaften füllen",""))</f>
        <v/>
      </c>
      <c r="X528" s="248" t="str">
        <f>IF(ISBLANK(C528),"",IF((U528&gt;(LOOKUP(E528,WKNrListe,Übersicht!$O$7:$O$46)))+(U528&lt;(LOOKUP(E528,WKNrListe,Übersicht!$P$7:$P$46))),"JG falsch",""))</f>
        <v/>
      </c>
      <c r="Y528" s="255" t="str">
        <f>IF((A528="")*(B528=""),"",IF(ISERROR(MATCH(E528,WKNrListe,0)),"WK falsch",LOOKUP(E528,WKNrListe,Übersicht!$B$7:$B$46)))</f>
        <v/>
      </c>
      <c r="Z528" s="269" t="str">
        <f>IF(((AJ528=0)*(AH528&lt;&gt;"")*(AK528="-"))+((AJ528&lt;&gt;0)*(AH528&lt;&gt;"")*(AK528="-")),IF(AG528="X",Übersicht!$C$70,Übersicht!$C$69),"-")</f>
        <v>-</v>
      </c>
      <c r="AA528" s="252" t="str">
        <f>IF((($A528="")*($B528=""))+((MID($Y528,1,4)&lt;&gt;"Wahl")*(Deckblatt!$C$14='WK-Vorlagen'!$C$82))+(Deckblatt!$C$14&lt;&gt;'WK-Vorlagen'!$C$82),"",IF(ISERROR(MATCH(VALUE(MID(G528,1,2)),Schwierigkeitsstufen!$G$7:$G$19,0)),"Gerät falsch",LOOKUP(VALUE(MID(G528,1,2)),Schwierigkeitsstufen!$G$7:$G$19,Schwierigkeitsstufen!$H$7:$H$19)))</f>
        <v/>
      </c>
      <c r="AB528" s="250" t="str">
        <f>IF((($A528="")*($B528=""))+((MID($Y528,1,4)&lt;&gt;"Wahl")*(Deckblatt!$C$14='WK-Vorlagen'!$C$82))+(Deckblatt!$C$14&lt;&gt;'WK-Vorlagen'!$C$82),"",IF(ISERROR(MATCH(VALUE(MID(H528,1,2)),Schwierigkeitsstufen!$G$7:$G$19,0)),"Gerät falsch",LOOKUP(VALUE(MID(H528,1,2)),Schwierigkeitsstufen!$G$7:$G$19,Schwierigkeitsstufen!$H$7:$H$19)))</f>
        <v/>
      </c>
      <c r="AC528" s="250" t="str">
        <f>IF((($A528="")*($B528=""))+((MID($Y528,1,4)&lt;&gt;"Wahl")*(Deckblatt!$C$14='WK-Vorlagen'!$C$82))+(Deckblatt!$C$14&lt;&gt;'WK-Vorlagen'!$C$82),"",IF(ISERROR(MATCH(VALUE(MID(I528,1,2)),Schwierigkeitsstufen!$G$7:$G$19,0)),"Gerät falsch",LOOKUP(VALUE(MID(I528,1,2)),Schwierigkeitsstufen!$G$7:$G$19,Schwierigkeitsstufen!$H$7:$H$19)))</f>
        <v/>
      </c>
      <c r="AD528" s="251" t="str">
        <f>IF((($A528="")*($B528=""))+((MID($Y528,1,4)&lt;&gt;"Wahl")*(Deckblatt!$C$14='WK-Vorlagen'!$C$82))+(Deckblatt!$C$14&lt;&gt;'WK-Vorlagen'!$C$82),"",IF(ISERROR(MATCH(VALUE(MID(J528,1,2)),Schwierigkeitsstufen!$G$7:$G$19,0)),"Gerät falsch",LOOKUP(VALUE(MID(J528,1,2)),Schwierigkeitsstufen!$G$7:$G$19,Schwierigkeitsstufen!$H$7:$H$19)))</f>
        <v/>
      </c>
      <c r="AE528" s="211"/>
      <c r="AG528" s="221" t="str">
        <f t="shared" si="72"/>
        <v/>
      </c>
      <c r="AH528" s="222" t="str">
        <f t="shared" si="74"/>
        <v/>
      </c>
      <c r="AI528" s="220">
        <f t="shared" si="79"/>
        <v>4</v>
      </c>
      <c r="AJ528" s="222">
        <f t="shared" si="75"/>
        <v>0</v>
      </c>
      <c r="AK528" s="299" t="str">
        <f>IF(ISERROR(LOOKUP(E528,WKNrListe,Übersicht!$R$7:$R$46)),"-",LOOKUP(E528,WKNrListe,Übersicht!$R$7:$R$46))</f>
        <v>-</v>
      </c>
      <c r="AL528" s="299" t="str">
        <f t="shared" si="78"/>
        <v>-</v>
      </c>
      <c r="AM528" s="303"/>
      <c r="AN528" s="174" t="str">
        <f t="shared" si="71"/>
        <v>Leer</v>
      </c>
    </row>
    <row r="529" spans="1:40" s="174" customFormat="1" ht="15" customHeight="1">
      <c r="A529" s="63"/>
      <c r="B529" s="63"/>
      <c r="C529" s="84"/>
      <c r="D529" s="85"/>
      <c r="E529" s="62"/>
      <c r="F529" s="62"/>
      <c r="G529" s="62"/>
      <c r="H529" s="62"/>
      <c r="I529" s="62"/>
      <c r="J529" s="62"/>
      <c r="K529" s="62"/>
      <c r="L529" s="62"/>
      <c r="M529" s="62"/>
      <c r="N529" s="62"/>
      <c r="O529" s="62"/>
      <c r="P529" s="62"/>
      <c r="Q529" s="62"/>
      <c r="R529" s="62"/>
      <c r="S529" s="258"/>
      <c r="T529" s="248" t="str">
        <f t="shared" si="76"/>
        <v/>
      </c>
      <c r="U529" s="249" t="str">
        <f t="shared" si="77"/>
        <v/>
      </c>
      <c r="V529" s="294" t="str">
        <f t="shared" si="73"/>
        <v/>
      </c>
      <c r="W529" s="294" t="str">
        <f>IF(((E529="")+(F529="")),"",IF(VLOOKUP(F529,Mannschaften!$A$1:$B$54,2,FALSE)&lt;&gt;E529,"Reiter Mannschaften füllen",""))</f>
        <v/>
      </c>
      <c r="X529" s="248" t="str">
        <f>IF(ISBLANK(C529),"",IF((U529&gt;(LOOKUP(E529,WKNrListe,Übersicht!$O$7:$O$46)))+(U529&lt;(LOOKUP(E529,WKNrListe,Übersicht!$P$7:$P$46))),"JG falsch",""))</f>
        <v/>
      </c>
      <c r="Y529" s="255" t="str">
        <f>IF((A529="")*(B529=""),"",IF(ISERROR(MATCH(E529,WKNrListe,0)),"WK falsch",LOOKUP(E529,WKNrListe,Übersicht!$B$7:$B$46)))</f>
        <v/>
      </c>
      <c r="Z529" s="269" t="str">
        <f>IF(((AJ529=0)*(AH529&lt;&gt;"")*(AK529="-"))+((AJ529&lt;&gt;0)*(AH529&lt;&gt;"")*(AK529="-")),IF(AG529="X",Übersicht!$C$70,Übersicht!$C$69),"-")</f>
        <v>-</v>
      </c>
      <c r="AA529" s="252" t="str">
        <f>IF((($A529="")*($B529=""))+((MID($Y529,1,4)&lt;&gt;"Wahl")*(Deckblatt!$C$14='WK-Vorlagen'!$C$82))+(Deckblatt!$C$14&lt;&gt;'WK-Vorlagen'!$C$82),"",IF(ISERROR(MATCH(VALUE(MID(G529,1,2)),Schwierigkeitsstufen!$G$7:$G$19,0)),"Gerät falsch",LOOKUP(VALUE(MID(G529,1,2)),Schwierigkeitsstufen!$G$7:$G$19,Schwierigkeitsstufen!$H$7:$H$19)))</f>
        <v/>
      </c>
      <c r="AB529" s="250" t="str">
        <f>IF((($A529="")*($B529=""))+((MID($Y529,1,4)&lt;&gt;"Wahl")*(Deckblatt!$C$14='WK-Vorlagen'!$C$82))+(Deckblatt!$C$14&lt;&gt;'WK-Vorlagen'!$C$82),"",IF(ISERROR(MATCH(VALUE(MID(H529,1,2)),Schwierigkeitsstufen!$G$7:$G$19,0)),"Gerät falsch",LOOKUP(VALUE(MID(H529,1,2)),Schwierigkeitsstufen!$G$7:$G$19,Schwierigkeitsstufen!$H$7:$H$19)))</f>
        <v/>
      </c>
      <c r="AC529" s="250" t="str">
        <f>IF((($A529="")*($B529=""))+((MID($Y529,1,4)&lt;&gt;"Wahl")*(Deckblatt!$C$14='WK-Vorlagen'!$C$82))+(Deckblatt!$C$14&lt;&gt;'WK-Vorlagen'!$C$82),"",IF(ISERROR(MATCH(VALUE(MID(I529,1,2)),Schwierigkeitsstufen!$G$7:$G$19,0)),"Gerät falsch",LOOKUP(VALUE(MID(I529,1,2)),Schwierigkeitsstufen!$G$7:$G$19,Schwierigkeitsstufen!$H$7:$H$19)))</f>
        <v/>
      </c>
      <c r="AD529" s="251" t="str">
        <f>IF((($A529="")*($B529=""))+((MID($Y529,1,4)&lt;&gt;"Wahl")*(Deckblatt!$C$14='WK-Vorlagen'!$C$82))+(Deckblatt!$C$14&lt;&gt;'WK-Vorlagen'!$C$82),"",IF(ISERROR(MATCH(VALUE(MID(J529,1,2)),Schwierigkeitsstufen!$G$7:$G$19,0)),"Gerät falsch",LOOKUP(VALUE(MID(J529,1,2)),Schwierigkeitsstufen!$G$7:$G$19,Schwierigkeitsstufen!$H$7:$H$19)))</f>
        <v/>
      </c>
      <c r="AE529" s="211"/>
      <c r="AG529" s="221" t="str">
        <f t="shared" si="72"/>
        <v/>
      </c>
      <c r="AH529" s="222" t="str">
        <f t="shared" si="74"/>
        <v/>
      </c>
      <c r="AI529" s="220">
        <f t="shared" si="79"/>
        <v>4</v>
      </c>
      <c r="AJ529" s="222">
        <f t="shared" si="75"/>
        <v>0</v>
      </c>
      <c r="AK529" s="299" t="str">
        <f>IF(ISERROR(LOOKUP(E529,WKNrListe,Übersicht!$R$7:$R$46)),"-",LOOKUP(E529,WKNrListe,Übersicht!$R$7:$R$46))</f>
        <v>-</v>
      </c>
      <c r="AL529" s="299" t="str">
        <f t="shared" si="78"/>
        <v>-</v>
      </c>
      <c r="AM529" s="303"/>
      <c r="AN529" s="174" t="str">
        <f t="shared" si="71"/>
        <v>Leer</v>
      </c>
    </row>
    <row r="530" spans="1:40" s="174" customFormat="1" ht="15" customHeight="1">
      <c r="A530" s="63"/>
      <c r="B530" s="63"/>
      <c r="C530" s="84"/>
      <c r="D530" s="85"/>
      <c r="E530" s="62"/>
      <c r="F530" s="62"/>
      <c r="G530" s="62"/>
      <c r="H530" s="62"/>
      <c r="I530" s="62"/>
      <c r="J530" s="62"/>
      <c r="K530" s="62"/>
      <c r="L530" s="62"/>
      <c r="M530" s="62"/>
      <c r="N530" s="62"/>
      <c r="O530" s="62"/>
      <c r="P530" s="62"/>
      <c r="Q530" s="62"/>
      <c r="R530" s="62"/>
      <c r="S530" s="258"/>
      <c r="T530" s="248" t="str">
        <f t="shared" si="76"/>
        <v/>
      </c>
      <c r="U530" s="249" t="str">
        <f t="shared" si="77"/>
        <v/>
      </c>
      <c r="V530" s="294" t="str">
        <f t="shared" si="73"/>
        <v/>
      </c>
      <c r="W530" s="294" t="str">
        <f>IF(((E530="")+(F530="")),"",IF(VLOOKUP(F530,Mannschaften!$A$1:$B$54,2,FALSE)&lt;&gt;E530,"Reiter Mannschaften füllen",""))</f>
        <v/>
      </c>
      <c r="X530" s="248" t="str">
        <f>IF(ISBLANK(C530),"",IF((U530&gt;(LOOKUP(E530,WKNrListe,Übersicht!$O$7:$O$46)))+(U530&lt;(LOOKUP(E530,WKNrListe,Übersicht!$P$7:$P$46))),"JG falsch",""))</f>
        <v/>
      </c>
      <c r="Y530" s="255" t="str">
        <f>IF((A530="")*(B530=""),"",IF(ISERROR(MATCH(E530,WKNrListe,0)),"WK falsch",LOOKUP(E530,WKNrListe,Übersicht!$B$7:$B$46)))</f>
        <v/>
      </c>
      <c r="Z530" s="269" t="str">
        <f>IF(((AJ530=0)*(AH530&lt;&gt;"")*(AK530="-"))+((AJ530&lt;&gt;0)*(AH530&lt;&gt;"")*(AK530="-")),IF(AG530="X",Übersicht!$C$70,Übersicht!$C$69),"-")</f>
        <v>-</v>
      </c>
      <c r="AA530" s="252" t="str">
        <f>IF((($A530="")*($B530=""))+((MID($Y530,1,4)&lt;&gt;"Wahl")*(Deckblatt!$C$14='WK-Vorlagen'!$C$82))+(Deckblatt!$C$14&lt;&gt;'WK-Vorlagen'!$C$82),"",IF(ISERROR(MATCH(VALUE(MID(G530,1,2)),Schwierigkeitsstufen!$G$7:$G$19,0)),"Gerät falsch",LOOKUP(VALUE(MID(G530,1,2)),Schwierigkeitsstufen!$G$7:$G$19,Schwierigkeitsstufen!$H$7:$H$19)))</f>
        <v/>
      </c>
      <c r="AB530" s="250" t="str">
        <f>IF((($A530="")*($B530=""))+((MID($Y530,1,4)&lt;&gt;"Wahl")*(Deckblatt!$C$14='WK-Vorlagen'!$C$82))+(Deckblatt!$C$14&lt;&gt;'WK-Vorlagen'!$C$82),"",IF(ISERROR(MATCH(VALUE(MID(H530,1,2)),Schwierigkeitsstufen!$G$7:$G$19,0)),"Gerät falsch",LOOKUP(VALUE(MID(H530,1,2)),Schwierigkeitsstufen!$G$7:$G$19,Schwierigkeitsstufen!$H$7:$H$19)))</f>
        <v/>
      </c>
      <c r="AC530" s="250" t="str">
        <f>IF((($A530="")*($B530=""))+((MID($Y530,1,4)&lt;&gt;"Wahl")*(Deckblatt!$C$14='WK-Vorlagen'!$C$82))+(Deckblatt!$C$14&lt;&gt;'WK-Vorlagen'!$C$82),"",IF(ISERROR(MATCH(VALUE(MID(I530,1,2)),Schwierigkeitsstufen!$G$7:$G$19,0)),"Gerät falsch",LOOKUP(VALUE(MID(I530,1,2)),Schwierigkeitsstufen!$G$7:$G$19,Schwierigkeitsstufen!$H$7:$H$19)))</f>
        <v/>
      </c>
      <c r="AD530" s="251" t="str">
        <f>IF((($A530="")*($B530=""))+((MID($Y530,1,4)&lt;&gt;"Wahl")*(Deckblatt!$C$14='WK-Vorlagen'!$C$82))+(Deckblatt!$C$14&lt;&gt;'WK-Vorlagen'!$C$82),"",IF(ISERROR(MATCH(VALUE(MID(J530,1,2)),Schwierigkeitsstufen!$G$7:$G$19,0)),"Gerät falsch",LOOKUP(VALUE(MID(J530,1,2)),Schwierigkeitsstufen!$G$7:$G$19,Schwierigkeitsstufen!$H$7:$H$19)))</f>
        <v/>
      </c>
      <c r="AE530" s="211"/>
      <c r="AG530" s="221" t="str">
        <f t="shared" si="72"/>
        <v/>
      </c>
      <c r="AH530" s="222" t="str">
        <f t="shared" si="74"/>
        <v/>
      </c>
      <c r="AI530" s="220">
        <f t="shared" si="79"/>
        <v>4</v>
      </c>
      <c r="AJ530" s="222">
        <f t="shared" si="75"/>
        <v>0</v>
      </c>
      <c r="AK530" s="299" t="str">
        <f>IF(ISERROR(LOOKUP(E530,WKNrListe,Übersicht!$R$7:$R$46)),"-",LOOKUP(E530,WKNrListe,Übersicht!$R$7:$R$46))</f>
        <v>-</v>
      </c>
      <c r="AL530" s="299" t="str">
        <f t="shared" si="78"/>
        <v>-</v>
      </c>
      <c r="AM530" s="303"/>
      <c r="AN530" s="174" t="str">
        <f t="shared" si="71"/>
        <v>Leer</v>
      </c>
    </row>
    <row r="531" spans="1:40" s="174" customFormat="1" ht="15" customHeight="1">
      <c r="A531" s="63"/>
      <c r="B531" s="63"/>
      <c r="C531" s="84"/>
      <c r="D531" s="85"/>
      <c r="E531" s="62"/>
      <c r="F531" s="62"/>
      <c r="G531" s="62"/>
      <c r="H531" s="62"/>
      <c r="I531" s="62"/>
      <c r="J531" s="62"/>
      <c r="K531" s="62"/>
      <c r="L531" s="62"/>
      <c r="M531" s="62"/>
      <c r="N531" s="62"/>
      <c r="O531" s="62"/>
      <c r="P531" s="62"/>
      <c r="Q531" s="62"/>
      <c r="R531" s="62"/>
      <c r="S531" s="258"/>
      <c r="T531" s="248" t="str">
        <f t="shared" si="76"/>
        <v/>
      </c>
      <c r="U531" s="249" t="str">
        <f t="shared" si="77"/>
        <v/>
      </c>
      <c r="V531" s="294" t="str">
        <f t="shared" si="73"/>
        <v/>
      </c>
      <c r="W531" s="294" t="str">
        <f>IF(((E531="")+(F531="")),"",IF(VLOOKUP(F531,Mannschaften!$A$1:$B$54,2,FALSE)&lt;&gt;E531,"Reiter Mannschaften füllen",""))</f>
        <v/>
      </c>
      <c r="X531" s="248" t="str">
        <f>IF(ISBLANK(C531),"",IF((U531&gt;(LOOKUP(E531,WKNrListe,Übersicht!$O$7:$O$46)))+(U531&lt;(LOOKUP(E531,WKNrListe,Übersicht!$P$7:$P$46))),"JG falsch",""))</f>
        <v/>
      </c>
      <c r="Y531" s="255" t="str">
        <f>IF((A531="")*(B531=""),"",IF(ISERROR(MATCH(E531,WKNrListe,0)),"WK falsch",LOOKUP(E531,WKNrListe,Übersicht!$B$7:$B$46)))</f>
        <v/>
      </c>
      <c r="Z531" s="269" t="str">
        <f>IF(((AJ531=0)*(AH531&lt;&gt;"")*(AK531="-"))+((AJ531&lt;&gt;0)*(AH531&lt;&gt;"")*(AK531="-")),IF(AG531="X",Übersicht!$C$70,Übersicht!$C$69),"-")</f>
        <v>-</v>
      </c>
      <c r="AA531" s="252" t="str">
        <f>IF((($A531="")*($B531=""))+((MID($Y531,1,4)&lt;&gt;"Wahl")*(Deckblatt!$C$14='WK-Vorlagen'!$C$82))+(Deckblatt!$C$14&lt;&gt;'WK-Vorlagen'!$C$82),"",IF(ISERROR(MATCH(VALUE(MID(G531,1,2)),Schwierigkeitsstufen!$G$7:$G$19,0)),"Gerät falsch",LOOKUP(VALUE(MID(G531,1,2)),Schwierigkeitsstufen!$G$7:$G$19,Schwierigkeitsstufen!$H$7:$H$19)))</f>
        <v/>
      </c>
      <c r="AB531" s="250" t="str">
        <f>IF((($A531="")*($B531=""))+((MID($Y531,1,4)&lt;&gt;"Wahl")*(Deckblatt!$C$14='WK-Vorlagen'!$C$82))+(Deckblatt!$C$14&lt;&gt;'WK-Vorlagen'!$C$82),"",IF(ISERROR(MATCH(VALUE(MID(H531,1,2)),Schwierigkeitsstufen!$G$7:$G$19,0)),"Gerät falsch",LOOKUP(VALUE(MID(H531,1,2)),Schwierigkeitsstufen!$G$7:$G$19,Schwierigkeitsstufen!$H$7:$H$19)))</f>
        <v/>
      </c>
      <c r="AC531" s="250" t="str">
        <f>IF((($A531="")*($B531=""))+((MID($Y531,1,4)&lt;&gt;"Wahl")*(Deckblatt!$C$14='WK-Vorlagen'!$C$82))+(Deckblatt!$C$14&lt;&gt;'WK-Vorlagen'!$C$82),"",IF(ISERROR(MATCH(VALUE(MID(I531,1,2)),Schwierigkeitsstufen!$G$7:$G$19,0)),"Gerät falsch",LOOKUP(VALUE(MID(I531,1,2)),Schwierigkeitsstufen!$G$7:$G$19,Schwierigkeitsstufen!$H$7:$H$19)))</f>
        <v/>
      </c>
      <c r="AD531" s="251" t="str">
        <f>IF((($A531="")*($B531=""))+((MID($Y531,1,4)&lt;&gt;"Wahl")*(Deckblatt!$C$14='WK-Vorlagen'!$C$82))+(Deckblatt!$C$14&lt;&gt;'WK-Vorlagen'!$C$82),"",IF(ISERROR(MATCH(VALUE(MID(J531,1,2)),Schwierigkeitsstufen!$G$7:$G$19,0)),"Gerät falsch",LOOKUP(VALUE(MID(J531,1,2)),Schwierigkeitsstufen!$G$7:$G$19,Schwierigkeitsstufen!$H$7:$H$19)))</f>
        <v/>
      </c>
      <c r="AE531" s="211"/>
      <c r="AG531" s="221" t="str">
        <f t="shared" si="72"/>
        <v/>
      </c>
      <c r="AH531" s="222" t="str">
        <f t="shared" si="74"/>
        <v/>
      </c>
      <c r="AI531" s="220">
        <f t="shared" si="79"/>
        <v>4</v>
      </c>
      <c r="AJ531" s="222">
        <f t="shared" si="75"/>
        <v>0</v>
      </c>
      <c r="AK531" s="299" t="str">
        <f>IF(ISERROR(LOOKUP(E531,WKNrListe,Übersicht!$R$7:$R$46)),"-",LOOKUP(E531,WKNrListe,Übersicht!$R$7:$R$46))</f>
        <v>-</v>
      </c>
      <c r="AL531" s="299" t="str">
        <f t="shared" si="78"/>
        <v>-</v>
      </c>
      <c r="AM531" s="303"/>
      <c r="AN531" s="174" t="str">
        <f t="shared" si="71"/>
        <v>Leer</v>
      </c>
    </row>
    <row r="532" spans="1:40" s="174" customFormat="1" ht="15" customHeight="1">
      <c r="A532" s="63"/>
      <c r="B532" s="63"/>
      <c r="C532" s="84"/>
      <c r="D532" s="85"/>
      <c r="E532" s="62"/>
      <c r="F532" s="62"/>
      <c r="G532" s="62"/>
      <c r="H532" s="62"/>
      <c r="I532" s="62"/>
      <c r="J532" s="62"/>
      <c r="K532" s="62"/>
      <c r="L532" s="62"/>
      <c r="M532" s="62"/>
      <c r="N532" s="62"/>
      <c r="O532" s="62"/>
      <c r="P532" s="62"/>
      <c r="Q532" s="62"/>
      <c r="R532" s="62"/>
      <c r="S532" s="258"/>
      <c r="T532" s="248" t="str">
        <f t="shared" si="76"/>
        <v/>
      </c>
      <c r="U532" s="249" t="str">
        <f t="shared" si="77"/>
        <v/>
      </c>
      <c r="V532" s="294" t="str">
        <f t="shared" si="73"/>
        <v/>
      </c>
      <c r="W532" s="294" t="str">
        <f>IF(((E532="")+(F532="")),"",IF(VLOOKUP(F532,Mannschaften!$A$1:$B$54,2,FALSE)&lt;&gt;E532,"Reiter Mannschaften füllen",""))</f>
        <v/>
      </c>
      <c r="X532" s="248" t="str">
        <f>IF(ISBLANK(C532),"",IF((U532&gt;(LOOKUP(E532,WKNrListe,Übersicht!$O$7:$O$46)))+(U532&lt;(LOOKUP(E532,WKNrListe,Übersicht!$P$7:$P$46))),"JG falsch",""))</f>
        <v/>
      </c>
      <c r="Y532" s="255" t="str">
        <f>IF((A532="")*(B532=""),"",IF(ISERROR(MATCH(E532,WKNrListe,0)),"WK falsch",LOOKUP(E532,WKNrListe,Übersicht!$B$7:$B$46)))</f>
        <v/>
      </c>
      <c r="Z532" s="269" t="str">
        <f>IF(((AJ532=0)*(AH532&lt;&gt;"")*(AK532="-"))+((AJ532&lt;&gt;0)*(AH532&lt;&gt;"")*(AK532="-")),IF(AG532="X",Übersicht!$C$70,Übersicht!$C$69),"-")</f>
        <v>-</v>
      </c>
      <c r="AA532" s="252" t="str">
        <f>IF((($A532="")*($B532=""))+((MID($Y532,1,4)&lt;&gt;"Wahl")*(Deckblatt!$C$14='WK-Vorlagen'!$C$82))+(Deckblatt!$C$14&lt;&gt;'WK-Vorlagen'!$C$82),"",IF(ISERROR(MATCH(VALUE(MID(G532,1,2)),Schwierigkeitsstufen!$G$7:$G$19,0)),"Gerät falsch",LOOKUP(VALUE(MID(G532,1,2)),Schwierigkeitsstufen!$G$7:$G$19,Schwierigkeitsstufen!$H$7:$H$19)))</f>
        <v/>
      </c>
      <c r="AB532" s="250" t="str">
        <f>IF((($A532="")*($B532=""))+((MID($Y532,1,4)&lt;&gt;"Wahl")*(Deckblatt!$C$14='WK-Vorlagen'!$C$82))+(Deckblatt!$C$14&lt;&gt;'WK-Vorlagen'!$C$82),"",IF(ISERROR(MATCH(VALUE(MID(H532,1,2)),Schwierigkeitsstufen!$G$7:$G$19,0)),"Gerät falsch",LOOKUP(VALUE(MID(H532,1,2)),Schwierigkeitsstufen!$G$7:$G$19,Schwierigkeitsstufen!$H$7:$H$19)))</f>
        <v/>
      </c>
      <c r="AC532" s="250" t="str">
        <f>IF((($A532="")*($B532=""))+((MID($Y532,1,4)&lt;&gt;"Wahl")*(Deckblatt!$C$14='WK-Vorlagen'!$C$82))+(Deckblatt!$C$14&lt;&gt;'WK-Vorlagen'!$C$82),"",IF(ISERROR(MATCH(VALUE(MID(I532,1,2)),Schwierigkeitsstufen!$G$7:$G$19,0)),"Gerät falsch",LOOKUP(VALUE(MID(I532,1,2)),Schwierigkeitsstufen!$G$7:$G$19,Schwierigkeitsstufen!$H$7:$H$19)))</f>
        <v/>
      </c>
      <c r="AD532" s="251" t="str">
        <f>IF((($A532="")*($B532=""))+((MID($Y532,1,4)&lt;&gt;"Wahl")*(Deckblatt!$C$14='WK-Vorlagen'!$C$82))+(Deckblatt!$C$14&lt;&gt;'WK-Vorlagen'!$C$82),"",IF(ISERROR(MATCH(VALUE(MID(J532,1,2)),Schwierigkeitsstufen!$G$7:$G$19,0)),"Gerät falsch",LOOKUP(VALUE(MID(J532,1,2)),Schwierigkeitsstufen!$G$7:$G$19,Schwierigkeitsstufen!$H$7:$H$19)))</f>
        <v/>
      </c>
      <c r="AE532" s="211"/>
      <c r="AG532" s="221" t="str">
        <f t="shared" si="72"/>
        <v/>
      </c>
      <c r="AH532" s="222" t="str">
        <f t="shared" si="74"/>
        <v/>
      </c>
      <c r="AI532" s="220">
        <f t="shared" si="79"/>
        <v>4</v>
      </c>
      <c r="AJ532" s="222">
        <f t="shared" si="75"/>
        <v>0</v>
      </c>
      <c r="AK532" s="299" t="str">
        <f>IF(ISERROR(LOOKUP(E532,WKNrListe,Übersicht!$R$7:$R$46)),"-",LOOKUP(E532,WKNrListe,Übersicht!$R$7:$R$46))</f>
        <v>-</v>
      </c>
      <c r="AL532" s="299" t="str">
        <f t="shared" si="78"/>
        <v>-</v>
      </c>
      <c r="AM532" s="303"/>
      <c r="AN532" s="174" t="str">
        <f t="shared" si="71"/>
        <v>Leer</v>
      </c>
    </row>
    <row r="533" spans="1:40" s="174" customFormat="1" ht="15" customHeight="1">
      <c r="A533" s="63"/>
      <c r="B533" s="63"/>
      <c r="C533" s="84"/>
      <c r="D533" s="85"/>
      <c r="E533" s="62"/>
      <c r="F533" s="62"/>
      <c r="G533" s="62"/>
      <c r="H533" s="62"/>
      <c r="I533" s="62"/>
      <c r="J533" s="62"/>
      <c r="K533" s="62"/>
      <c r="L533" s="62"/>
      <c r="M533" s="62"/>
      <c r="N533" s="62"/>
      <c r="O533" s="62"/>
      <c r="P533" s="62"/>
      <c r="Q533" s="62"/>
      <c r="R533" s="62"/>
      <c r="S533" s="258"/>
      <c r="T533" s="248" t="str">
        <f t="shared" si="76"/>
        <v/>
      </c>
      <c r="U533" s="249" t="str">
        <f t="shared" si="77"/>
        <v/>
      </c>
      <c r="V533" s="294" t="str">
        <f t="shared" si="73"/>
        <v/>
      </c>
      <c r="W533" s="294" t="str">
        <f>IF(((E533="")+(F533="")),"",IF(VLOOKUP(F533,Mannschaften!$A$1:$B$54,2,FALSE)&lt;&gt;E533,"Reiter Mannschaften füllen",""))</f>
        <v/>
      </c>
      <c r="X533" s="248" t="str">
        <f>IF(ISBLANK(C533),"",IF((U533&gt;(LOOKUP(E533,WKNrListe,Übersicht!$O$7:$O$46)))+(U533&lt;(LOOKUP(E533,WKNrListe,Übersicht!$P$7:$P$46))),"JG falsch",""))</f>
        <v/>
      </c>
      <c r="Y533" s="255" t="str">
        <f>IF((A533="")*(B533=""),"",IF(ISERROR(MATCH(E533,WKNrListe,0)),"WK falsch",LOOKUP(E533,WKNrListe,Übersicht!$B$7:$B$46)))</f>
        <v/>
      </c>
      <c r="Z533" s="269" t="str">
        <f>IF(((AJ533=0)*(AH533&lt;&gt;"")*(AK533="-"))+((AJ533&lt;&gt;0)*(AH533&lt;&gt;"")*(AK533="-")),IF(AG533="X",Übersicht!$C$70,Übersicht!$C$69),"-")</f>
        <v>-</v>
      </c>
      <c r="AA533" s="252" t="str">
        <f>IF((($A533="")*($B533=""))+((MID($Y533,1,4)&lt;&gt;"Wahl")*(Deckblatt!$C$14='WK-Vorlagen'!$C$82))+(Deckblatt!$C$14&lt;&gt;'WK-Vorlagen'!$C$82),"",IF(ISERROR(MATCH(VALUE(MID(G533,1,2)),Schwierigkeitsstufen!$G$7:$G$19,0)),"Gerät falsch",LOOKUP(VALUE(MID(G533,1,2)),Schwierigkeitsstufen!$G$7:$G$19,Schwierigkeitsstufen!$H$7:$H$19)))</f>
        <v/>
      </c>
      <c r="AB533" s="250" t="str">
        <f>IF((($A533="")*($B533=""))+((MID($Y533,1,4)&lt;&gt;"Wahl")*(Deckblatt!$C$14='WK-Vorlagen'!$C$82))+(Deckblatt!$C$14&lt;&gt;'WK-Vorlagen'!$C$82),"",IF(ISERROR(MATCH(VALUE(MID(H533,1,2)),Schwierigkeitsstufen!$G$7:$G$19,0)),"Gerät falsch",LOOKUP(VALUE(MID(H533,1,2)),Schwierigkeitsstufen!$G$7:$G$19,Schwierigkeitsstufen!$H$7:$H$19)))</f>
        <v/>
      </c>
      <c r="AC533" s="250" t="str">
        <f>IF((($A533="")*($B533=""))+((MID($Y533,1,4)&lt;&gt;"Wahl")*(Deckblatt!$C$14='WK-Vorlagen'!$C$82))+(Deckblatt!$C$14&lt;&gt;'WK-Vorlagen'!$C$82),"",IF(ISERROR(MATCH(VALUE(MID(I533,1,2)),Schwierigkeitsstufen!$G$7:$G$19,0)),"Gerät falsch",LOOKUP(VALUE(MID(I533,1,2)),Schwierigkeitsstufen!$G$7:$G$19,Schwierigkeitsstufen!$H$7:$H$19)))</f>
        <v/>
      </c>
      <c r="AD533" s="251" t="str">
        <f>IF((($A533="")*($B533=""))+((MID($Y533,1,4)&lt;&gt;"Wahl")*(Deckblatt!$C$14='WK-Vorlagen'!$C$82))+(Deckblatt!$C$14&lt;&gt;'WK-Vorlagen'!$C$82),"",IF(ISERROR(MATCH(VALUE(MID(J533,1,2)),Schwierigkeitsstufen!$G$7:$G$19,0)),"Gerät falsch",LOOKUP(VALUE(MID(J533,1,2)),Schwierigkeitsstufen!$G$7:$G$19,Schwierigkeitsstufen!$H$7:$H$19)))</f>
        <v/>
      </c>
      <c r="AE533" s="211"/>
      <c r="AG533" s="221" t="str">
        <f t="shared" si="72"/>
        <v/>
      </c>
      <c r="AH533" s="222" t="str">
        <f t="shared" si="74"/>
        <v/>
      </c>
      <c r="AI533" s="220">
        <f t="shared" si="79"/>
        <v>4</v>
      </c>
      <c r="AJ533" s="222">
        <f t="shared" si="75"/>
        <v>0</v>
      </c>
      <c r="AK533" s="299" t="str">
        <f>IF(ISERROR(LOOKUP(E533,WKNrListe,Übersicht!$R$7:$R$46)),"-",LOOKUP(E533,WKNrListe,Übersicht!$R$7:$R$46))</f>
        <v>-</v>
      </c>
      <c r="AL533" s="299" t="str">
        <f t="shared" si="78"/>
        <v>-</v>
      </c>
      <c r="AM533" s="303"/>
      <c r="AN533" s="174" t="str">
        <f t="shared" si="71"/>
        <v>Leer</v>
      </c>
    </row>
    <row r="534" spans="1:40" s="174" customFormat="1" ht="15" customHeight="1">
      <c r="A534" s="63"/>
      <c r="B534" s="63"/>
      <c r="C534" s="84"/>
      <c r="D534" s="85"/>
      <c r="E534" s="62"/>
      <c r="F534" s="62"/>
      <c r="G534" s="62"/>
      <c r="H534" s="62"/>
      <c r="I534" s="62"/>
      <c r="J534" s="62"/>
      <c r="K534" s="62"/>
      <c r="L534" s="62"/>
      <c r="M534" s="62"/>
      <c r="N534" s="62"/>
      <c r="O534" s="62"/>
      <c r="P534" s="62"/>
      <c r="Q534" s="62"/>
      <c r="R534" s="62"/>
      <c r="S534" s="258"/>
      <c r="T534" s="248" t="str">
        <f t="shared" si="76"/>
        <v/>
      </c>
      <c r="U534" s="249" t="str">
        <f t="shared" si="77"/>
        <v/>
      </c>
      <c r="V534" s="294" t="str">
        <f t="shared" si="73"/>
        <v/>
      </c>
      <c r="W534" s="294" t="str">
        <f>IF(((E534="")+(F534="")),"",IF(VLOOKUP(F534,Mannschaften!$A$1:$B$54,2,FALSE)&lt;&gt;E534,"Reiter Mannschaften füllen",""))</f>
        <v/>
      </c>
      <c r="X534" s="248" t="str">
        <f>IF(ISBLANK(C534),"",IF((U534&gt;(LOOKUP(E534,WKNrListe,Übersicht!$O$7:$O$46)))+(U534&lt;(LOOKUP(E534,WKNrListe,Übersicht!$P$7:$P$46))),"JG falsch",""))</f>
        <v/>
      </c>
      <c r="Y534" s="255" t="str">
        <f>IF((A534="")*(B534=""),"",IF(ISERROR(MATCH(E534,WKNrListe,0)),"WK falsch",LOOKUP(E534,WKNrListe,Übersicht!$B$7:$B$46)))</f>
        <v/>
      </c>
      <c r="Z534" s="269" t="str">
        <f>IF(((AJ534=0)*(AH534&lt;&gt;"")*(AK534="-"))+((AJ534&lt;&gt;0)*(AH534&lt;&gt;"")*(AK534="-")),IF(AG534="X",Übersicht!$C$70,Übersicht!$C$69),"-")</f>
        <v>-</v>
      </c>
      <c r="AA534" s="252" t="str">
        <f>IF((($A534="")*($B534=""))+((MID($Y534,1,4)&lt;&gt;"Wahl")*(Deckblatt!$C$14='WK-Vorlagen'!$C$82))+(Deckblatt!$C$14&lt;&gt;'WK-Vorlagen'!$C$82),"",IF(ISERROR(MATCH(VALUE(MID(G534,1,2)),Schwierigkeitsstufen!$G$7:$G$19,0)),"Gerät falsch",LOOKUP(VALUE(MID(G534,1,2)),Schwierigkeitsstufen!$G$7:$G$19,Schwierigkeitsstufen!$H$7:$H$19)))</f>
        <v/>
      </c>
      <c r="AB534" s="250" t="str">
        <f>IF((($A534="")*($B534=""))+((MID($Y534,1,4)&lt;&gt;"Wahl")*(Deckblatt!$C$14='WK-Vorlagen'!$C$82))+(Deckblatt!$C$14&lt;&gt;'WK-Vorlagen'!$C$82),"",IF(ISERROR(MATCH(VALUE(MID(H534,1,2)),Schwierigkeitsstufen!$G$7:$G$19,0)),"Gerät falsch",LOOKUP(VALUE(MID(H534,1,2)),Schwierigkeitsstufen!$G$7:$G$19,Schwierigkeitsstufen!$H$7:$H$19)))</f>
        <v/>
      </c>
      <c r="AC534" s="250" t="str">
        <f>IF((($A534="")*($B534=""))+((MID($Y534,1,4)&lt;&gt;"Wahl")*(Deckblatt!$C$14='WK-Vorlagen'!$C$82))+(Deckblatt!$C$14&lt;&gt;'WK-Vorlagen'!$C$82),"",IF(ISERROR(MATCH(VALUE(MID(I534,1,2)),Schwierigkeitsstufen!$G$7:$G$19,0)),"Gerät falsch",LOOKUP(VALUE(MID(I534,1,2)),Schwierigkeitsstufen!$G$7:$G$19,Schwierigkeitsstufen!$H$7:$H$19)))</f>
        <v/>
      </c>
      <c r="AD534" s="251" t="str">
        <f>IF((($A534="")*($B534=""))+((MID($Y534,1,4)&lt;&gt;"Wahl")*(Deckblatt!$C$14='WK-Vorlagen'!$C$82))+(Deckblatt!$C$14&lt;&gt;'WK-Vorlagen'!$C$82),"",IF(ISERROR(MATCH(VALUE(MID(J534,1,2)),Schwierigkeitsstufen!$G$7:$G$19,0)),"Gerät falsch",LOOKUP(VALUE(MID(J534,1,2)),Schwierigkeitsstufen!$G$7:$G$19,Schwierigkeitsstufen!$H$7:$H$19)))</f>
        <v/>
      </c>
      <c r="AE534" s="211"/>
      <c r="AG534" s="221" t="str">
        <f t="shared" si="72"/>
        <v/>
      </c>
      <c r="AH534" s="222" t="str">
        <f t="shared" si="74"/>
        <v/>
      </c>
      <c r="AI534" s="220">
        <f t="shared" si="79"/>
        <v>4</v>
      </c>
      <c r="AJ534" s="222">
        <f t="shared" si="75"/>
        <v>0</v>
      </c>
      <c r="AK534" s="299" t="str">
        <f>IF(ISERROR(LOOKUP(E534,WKNrListe,Übersicht!$R$7:$R$46)),"-",LOOKUP(E534,WKNrListe,Übersicht!$R$7:$R$46))</f>
        <v>-</v>
      </c>
      <c r="AL534" s="299" t="str">
        <f t="shared" si="78"/>
        <v>-</v>
      </c>
      <c r="AM534" s="303"/>
      <c r="AN534" s="174" t="str">
        <f t="shared" si="71"/>
        <v>Leer</v>
      </c>
    </row>
    <row r="535" spans="1:40" s="174" customFormat="1" ht="15" customHeight="1">
      <c r="A535" s="63"/>
      <c r="B535" s="63"/>
      <c r="C535" s="84"/>
      <c r="D535" s="85"/>
      <c r="E535" s="62"/>
      <c r="F535" s="62"/>
      <c r="G535" s="62"/>
      <c r="H535" s="62"/>
      <c r="I535" s="62"/>
      <c r="J535" s="62"/>
      <c r="K535" s="62"/>
      <c r="L535" s="62"/>
      <c r="M535" s="62"/>
      <c r="N535" s="62"/>
      <c r="O535" s="62"/>
      <c r="P535" s="62"/>
      <c r="Q535" s="62"/>
      <c r="R535" s="62"/>
      <c r="S535" s="258"/>
      <c r="T535" s="248" t="str">
        <f t="shared" si="76"/>
        <v/>
      </c>
      <c r="U535" s="249" t="str">
        <f t="shared" si="77"/>
        <v/>
      </c>
      <c r="V535" s="294" t="str">
        <f t="shared" si="73"/>
        <v/>
      </c>
      <c r="W535" s="294" t="str">
        <f>IF(((E535="")+(F535="")),"",IF(VLOOKUP(F535,Mannschaften!$A$1:$B$54,2,FALSE)&lt;&gt;E535,"Reiter Mannschaften füllen",""))</f>
        <v/>
      </c>
      <c r="X535" s="248" t="str">
        <f>IF(ISBLANK(C535),"",IF((U535&gt;(LOOKUP(E535,WKNrListe,Übersicht!$O$7:$O$46)))+(U535&lt;(LOOKUP(E535,WKNrListe,Übersicht!$P$7:$P$46))),"JG falsch",""))</f>
        <v/>
      </c>
      <c r="Y535" s="255" t="str">
        <f>IF((A535="")*(B535=""),"",IF(ISERROR(MATCH(E535,WKNrListe,0)),"WK falsch",LOOKUP(E535,WKNrListe,Übersicht!$B$7:$B$46)))</f>
        <v/>
      </c>
      <c r="Z535" s="269" t="str">
        <f>IF(((AJ535=0)*(AH535&lt;&gt;"")*(AK535="-"))+((AJ535&lt;&gt;0)*(AH535&lt;&gt;"")*(AK535="-")),IF(AG535="X",Übersicht!$C$70,Übersicht!$C$69),"-")</f>
        <v>-</v>
      </c>
      <c r="AA535" s="252" t="str">
        <f>IF((($A535="")*($B535=""))+((MID($Y535,1,4)&lt;&gt;"Wahl")*(Deckblatt!$C$14='WK-Vorlagen'!$C$82))+(Deckblatt!$C$14&lt;&gt;'WK-Vorlagen'!$C$82),"",IF(ISERROR(MATCH(VALUE(MID(G535,1,2)),Schwierigkeitsstufen!$G$7:$G$19,0)),"Gerät falsch",LOOKUP(VALUE(MID(G535,1,2)),Schwierigkeitsstufen!$G$7:$G$19,Schwierigkeitsstufen!$H$7:$H$19)))</f>
        <v/>
      </c>
      <c r="AB535" s="250" t="str">
        <f>IF((($A535="")*($B535=""))+((MID($Y535,1,4)&lt;&gt;"Wahl")*(Deckblatt!$C$14='WK-Vorlagen'!$C$82))+(Deckblatt!$C$14&lt;&gt;'WK-Vorlagen'!$C$82),"",IF(ISERROR(MATCH(VALUE(MID(H535,1,2)),Schwierigkeitsstufen!$G$7:$G$19,0)),"Gerät falsch",LOOKUP(VALUE(MID(H535,1,2)),Schwierigkeitsstufen!$G$7:$G$19,Schwierigkeitsstufen!$H$7:$H$19)))</f>
        <v/>
      </c>
      <c r="AC535" s="250" t="str">
        <f>IF((($A535="")*($B535=""))+((MID($Y535,1,4)&lt;&gt;"Wahl")*(Deckblatt!$C$14='WK-Vorlagen'!$C$82))+(Deckblatt!$C$14&lt;&gt;'WK-Vorlagen'!$C$82),"",IF(ISERROR(MATCH(VALUE(MID(I535,1,2)),Schwierigkeitsstufen!$G$7:$G$19,0)),"Gerät falsch",LOOKUP(VALUE(MID(I535,1,2)),Schwierigkeitsstufen!$G$7:$G$19,Schwierigkeitsstufen!$H$7:$H$19)))</f>
        <v/>
      </c>
      <c r="AD535" s="251" t="str">
        <f>IF((($A535="")*($B535=""))+((MID($Y535,1,4)&lt;&gt;"Wahl")*(Deckblatt!$C$14='WK-Vorlagen'!$C$82))+(Deckblatt!$C$14&lt;&gt;'WK-Vorlagen'!$C$82),"",IF(ISERROR(MATCH(VALUE(MID(J535,1,2)),Schwierigkeitsstufen!$G$7:$G$19,0)),"Gerät falsch",LOOKUP(VALUE(MID(J535,1,2)),Schwierigkeitsstufen!$G$7:$G$19,Schwierigkeitsstufen!$H$7:$H$19)))</f>
        <v/>
      </c>
      <c r="AE535" s="211"/>
      <c r="AG535" s="221" t="str">
        <f t="shared" si="72"/>
        <v/>
      </c>
      <c r="AH535" s="222" t="str">
        <f t="shared" si="74"/>
        <v/>
      </c>
      <c r="AI535" s="220">
        <f t="shared" si="79"/>
        <v>4</v>
      </c>
      <c r="AJ535" s="222">
        <f t="shared" si="75"/>
        <v>0</v>
      </c>
      <c r="AK535" s="299" t="str">
        <f>IF(ISERROR(LOOKUP(E535,WKNrListe,Übersicht!$R$7:$R$46)),"-",LOOKUP(E535,WKNrListe,Übersicht!$R$7:$R$46))</f>
        <v>-</v>
      </c>
      <c r="AL535" s="299" t="str">
        <f t="shared" si="78"/>
        <v>-</v>
      </c>
      <c r="AM535" s="303"/>
      <c r="AN535" s="174" t="str">
        <f t="shared" si="71"/>
        <v>Leer</v>
      </c>
    </row>
    <row r="536" spans="1:40" s="174" customFormat="1" ht="15" customHeight="1">
      <c r="A536" s="63"/>
      <c r="B536" s="63"/>
      <c r="C536" s="84"/>
      <c r="D536" s="85"/>
      <c r="E536" s="62"/>
      <c r="F536" s="62"/>
      <c r="G536" s="62"/>
      <c r="H536" s="62"/>
      <c r="I536" s="62"/>
      <c r="J536" s="62"/>
      <c r="K536" s="62"/>
      <c r="L536" s="62"/>
      <c r="M536" s="62"/>
      <c r="N536" s="62"/>
      <c r="O536" s="62"/>
      <c r="P536" s="62"/>
      <c r="Q536" s="62"/>
      <c r="R536" s="62"/>
      <c r="S536" s="258"/>
      <c r="T536" s="248" t="str">
        <f t="shared" si="76"/>
        <v/>
      </c>
      <c r="U536" s="249" t="str">
        <f t="shared" si="77"/>
        <v/>
      </c>
      <c r="V536" s="294" t="str">
        <f t="shared" si="73"/>
        <v/>
      </c>
      <c r="W536" s="294" t="str">
        <f>IF(((E536="")+(F536="")),"",IF(VLOOKUP(F536,Mannschaften!$A$1:$B$54,2,FALSE)&lt;&gt;E536,"Reiter Mannschaften füllen",""))</f>
        <v/>
      </c>
      <c r="X536" s="248" t="str">
        <f>IF(ISBLANK(C536),"",IF((U536&gt;(LOOKUP(E536,WKNrListe,Übersicht!$O$7:$O$46)))+(U536&lt;(LOOKUP(E536,WKNrListe,Übersicht!$P$7:$P$46))),"JG falsch",""))</f>
        <v/>
      </c>
      <c r="Y536" s="255" t="str">
        <f>IF((A536="")*(B536=""),"",IF(ISERROR(MATCH(E536,WKNrListe,0)),"WK falsch",LOOKUP(E536,WKNrListe,Übersicht!$B$7:$B$46)))</f>
        <v/>
      </c>
      <c r="Z536" s="269" t="str">
        <f>IF(((AJ536=0)*(AH536&lt;&gt;"")*(AK536="-"))+((AJ536&lt;&gt;0)*(AH536&lt;&gt;"")*(AK536="-")),IF(AG536="X",Übersicht!$C$70,Übersicht!$C$69),"-")</f>
        <v>-</v>
      </c>
      <c r="AA536" s="252" t="str">
        <f>IF((($A536="")*($B536=""))+((MID($Y536,1,4)&lt;&gt;"Wahl")*(Deckblatt!$C$14='WK-Vorlagen'!$C$82))+(Deckblatt!$C$14&lt;&gt;'WK-Vorlagen'!$C$82),"",IF(ISERROR(MATCH(VALUE(MID(G536,1,2)),Schwierigkeitsstufen!$G$7:$G$19,0)),"Gerät falsch",LOOKUP(VALUE(MID(G536,1,2)),Schwierigkeitsstufen!$G$7:$G$19,Schwierigkeitsstufen!$H$7:$H$19)))</f>
        <v/>
      </c>
      <c r="AB536" s="250" t="str">
        <f>IF((($A536="")*($B536=""))+((MID($Y536,1,4)&lt;&gt;"Wahl")*(Deckblatt!$C$14='WK-Vorlagen'!$C$82))+(Deckblatt!$C$14&lt;&gt;'WK-Vorlagen'!$C$82),"",IF(ISERROR(MATCH(VALUE(MID(H536,1,2)),Schwierigkeitsstufen!$G$7:$G$19,0)),"Gerät falsch",LOOKUP(VALUE(MID(H536,1,2)),Schwierigkeitsstufen!$G$7:$G$19,Schwierigkeitsstufen!$H$7:$H$19)))</f>
        <v/>
      </c>
      <c r="AC536" s="250" t="str">
        <f>IF((($A536="")*($B536=""))+((MID($Y536,1,4)&lt;&gt;"Wahl")*(Deckblatt!$C$14='WK-Vorlagen'!$C$82))+(Deckblatt!$C$14&lt;&gt;'WK-Vorlagen'!$C$82),"",IF(ISERROR(MATCH(VALUE(MID(I536,1,2)),Schwierigkeitsstufen!$G$7:$G$19,0)),"Gerät falsch",LOOKUP(VALUE(MID(I536,1,2)),Schwierigkeitsstufen!$G$7:$G$19,Schwierigkeitsstufen!$H$7:$H$19)))</f>
        <v/>
      </c>
      <c r="AD536" s="251" t="str">
        <f>IF((($A536="")*($B536=""))+((MID($Y536,1,4)&lt;&gt;"Wahl")*(Deckblatt!$C$14='WK-Vorlagen'!$C$82))+(Deckblatt!$C$14&lt;&gt;'WK-Vorlagen'!$C$82),"",IF(ISERROR(MATCH(VALUE(MID(J536,1,2)),Schwierigkeitsstufen!$G$7:$G$19,0)),"Gerät falsch",LOOKUP(VALUE(MID(J536,1,2)),Schwierigkeitsstufen!$G$7:$G$19,Schwierigkeitsstufen!$H$7:$H$19)))</f>
        <v/>
      </c>
      <c r="AE536" s="211"/>
      <c r="AG536" s="221" t="str">
        <f t="shared" si="72"/>
        <v/>
      </c>
      <c r="AH536" s="222" t="str">
        <f t="shared" si="74"/>
        <v/>
      </c>
      <c r="AI536" s="220">
        <f t="shared" si="79"/>
        <v>4</v>
      </c>
      <c r="AJ536" s="222">
        <f t="shared" si="75"/>
        <v>0</v>
      </c>
      <c r="AK536" s="299" t="str">
        <f>IF(ISERROR(LOOKUP(E536,WKNrListe,Übersicht!$R$7:$R$46)),"-",LOOKUP(E536,WKNrListe,Übersicht!$R$7:$R$46))</f>
        <v>-</v>
      </c>
      <c r="AL536" s="299" t="str">
        <f t="shared" si="78"/>
        <v>-</v>
      </c>
      <c r="AM536" s="303"/>
      <c r="AN536" s="174" t="str">
        <f t="shared" si="71"/>
        <v>Leer</v>
      </c>
    </row>
    <row r="537" spans="1:40" s="174" customFormat="1" ht="15" customHeight="1">
      <c r="A537" s="63"/>
      <c r="B537" s="63"/>
      <c r="C537" s="84"/>
      <c r="D537" s="85"/>
      <c r="E537" s="62"/>
      <c r="F537" s="62"/>
      <c r="G537" s="62"/>
      <c r="H537" s="62"/>
      <c r="I537" s="62"/>
      <c r="J537" s="62"/>
      <c r="K537" s="62"/>
      <c r="L537" s="62"/>
      <c r="M537" s="62"/>
      <c r="N537" s="62"/>
      <c r="O537" s="62"/>
      <c r="P537" s="62"/>
      <c r="Q537" s="62"/>
      <c r="R537" s="62"/>
      <c r="S537" s="258"/>
      <c r="T537" s="248" t="str">
        <f t="shared" si="76"/>
        <v/>
      </c>
      <c r="U537" s="249" t="str">
        <f t="shared" si="77"/>
        <v/>
      </c>
      <c r="V537" s="294" t="str">
        <f t="shared" si="73"/>
        <v/>
      </c>
      <c r="W537" s="294" t="str">
        <f>IF(((E537="")+(F537="")),"",IF(VLOOKUP(F537,Mannschaften!$A$1:$B$54,2,FALSE)&lt;&gt;E537,"Reiter Mannschaften füllen",""))</f>
        <v/>
      </c>
      <c r="X537" s="248" t="str">
        <f>IF(ISBLANK(C537),"",IF((U537&gt;(LOOKUP(E537,WKNrListe,Übersicht!$O$7:$O$46)))+(U537&lt;(LOOKUP(E537,WKNrListe,Übersicht!$P$7:$P$46))),"JG falsch",""))</f>
        <v/>
      </c>
      <c r="Y537" s="255" t="str">
        <f>IF((A537="")*(B537=""),"",IF(ISERROR(MATCH(E537,WKNrListe,0)),"WK falsch",LOOKUP(E537,WKNrListe,Übersicht!$B$7:$B$46)))</f>
        <v/>
      </c>
      <c r="Z537" s="269" t="str">
        <f>IF(((AJ537=0)*(AH537&lt;&gt;"")*(AK537="-"))+((AJ537&lt;&gt;0)*(AH537&lt;&gt;"")*(AK537="-")),IF(AG537="X",Übersicht!$C$70,Übersicht!$C$69),"-")</f>
        <v>-</v>
      </c>
      <c r="AA537" s="252" t="str">
        <f>IF((($A537="")*($B537=""))+((MID($Y537,1,4)&lt;&gt;"Wahl")*(Deckblatt!$C$14='WK-Vorlagen'!$C$82))+(Deckblatt!$C$14&lt;&gt;'WK-Vorlagen'!$C$82),"",IF(ISERROR(MATCH(VALUE(MID(G537,1,2)),Schwierigkeitsstufen!$G$7:$G$19,0)),"Gerät falsch",LOOKUP(VALUE(MID(G537,1,2)),Schwierigkeitsstufen!$G$7:$G$19,Schwierigkeitsstufen!$H$7:$H$19)))</f>
        <v/>
      </c>
      <c r="AB537" s="250" t="str">
        <f>IF((($A537="")*($B537=""))+((MID($Y537,1,4)&lt;&gt;"Wahl")*(Deckblatt!$C$14='WK-Vorlagen'!$C$82))+(Deckblatt!$C$14&lt;&gt;'WK-Vorlagen'!$C$82),"",IF(ISERROR(MATCH(VALUE(MID(H537,1,2)),Schwierigkeitsstufen!$G$7:$G$19,0)),"Gerät falsch",LOOKUP(VALUE(MID(H537,1,2)),Schwierigkeitsstufen!$G$7:$G$19,Schwierigkeitsstufen!$H$7:$H$19)))</f>
        <v/>
      </c>
      <c r="AC537" s="250" t="str">
        <f>IF((($A537="")*($B537=""))+((MID($Y537,1,4)&lt;&gt;"Wahl")*(Deckblatt!$C$14='WK-Vorlagen'!$C$82))+(Deckblatt!$C$14&lt;&gt;'WK-Vorlagen'!$C$82),"",IF(ISERROR(MATCH(VALUE(MID(I537,1,2)),Schwierigkeitsstufen!$G$7:$G$19,0)),"Gerät falsch",LOOKUP(VALUE(MID(I537,1,2)),Schwierigkeitsstufen!$G$7:$G$19,Schwierigkeitsstufen!$H$7:$H$19)))</f>
        <v/>
      </c>
      <c r="AD537" s="251" t="str">
        <f>IF((($A537="")*($B537=""))+((MID($Y537,1,4)&lt;&gt;"Wahl")*(Deckblatt!$C$14='WK-Vorlagen'!$C$82))+(Deckblatt!$C$14&lt;&gt;'WK-Vorlagen'!$C$82),"",IF(ISERROR(MATCH(VALUE(MID(J537,1,2)),Schwierigkeitsstufen!$G$7:$G$19,0)),"Gerät falsch",LOOKUP(VALUE(MID(J537,1,2)),Schwierigkeitsstufen!$G$7:$G$19,Schwierigkeitsstufen!$H$7:$H$19)))</f>
        <v/>
      </c>
      <c r="AE537" s="211"/>
      <c r="AG537" s="221" t="str">
        <f t="shared" si="72"/>
        <v/>
      </c>
      <c r="AH537" s="222" t="str">
        <f t="shared" si="74"/>
        <v/>
      </c>
      <c r="AI537" s="220">
        <f t="shared" si="79"/>
        <v>4</v>
      </c>
      <c r="AJ537" s="222">
        <f t="shared" si="75"/>
        <v>0</v>
      </c>
      <c r="AK537" s="299" t="str">
        <f>IF(ISERROR(LOOKUP(E537,WKNrListe,Übersicht!$R$7:$R$46)),"-",LOOKUP(E537,WKNrListe,Übersicht!$R$7:$R$46))</f>
        <v>-</v>
      </c>
      <c r="AL537" s="299" t="str">
        <f t="shared" si="78"/>
        <v>-</v>
      </c>
      <c r="AM537" s="303"/>
      <c r="AN537" s="174" t="str">
        <f t="shared" si="71"/>
        <v>Leer</v>
      </c>
    </row>
    <row r="538" spans="1:40" s="174" customFormat="1" ht="15" customHeight="1">
      <c r="A538" s="63"/>
      <c r="B538" s="63"/>
      <c r="C538" s="84"/>
      <c r="D538" s="85"/>
      <c r="E538" s="62"/>
      <c r="F538" s="62"/>
      <c r="G538" s="62"/>
      <c r="H538" s="62"/>
      <c r="I538" s="62"/>
      <c r="J538" s="62"/>
      <c r="K538" s="62"/>
      <c r="L538" s="62"/>
      <c r="M538" s="62"/>
      <c r="N538" s="62"/>
      <c r="O538" s="62"/>
      <c r="P538" s="62"/>
      <c r="Q538" s="62"/>
      <c r="R538" s="62"/>
      <c r="S538" s="258"/>
      <c r="T538" s="248" t="str">
        <f t="shared" si="76"/>
        <v/>
      </c>
      <c r="U538" s="249" t="str">
        <f t="shared" si="77"/>
        <v/>
      </c>
      <c r="V538" s="294" t="str">
        <f t="shared" si="73"/>
        <v/>
      </c>
      <c r="W538" s="294" t="str">
        <f>IF(((E538="")+(F538="")),"",IF(VLOOKUP(F538,Mannschaften!$A$1:$B$54,2,FALSE)&lt;&gt;E538,"Reiter Mannschaften füllen",""))</f>
        <v/>
      </c>
      <c r="X538" s="248" t="str">
        <f>IF(ISBLANK(C538),"",IF((U538&gt;(LOOKUP(E538,WKNrListe,Übersicht!$O$7:$O$46)))+(U538&lt;(LOOKUP(E538,WKNrListe,Übersicht!$P$7:$P$46))),"JG falsch",""))</f>
        <v/>
      </c>
      <c r="Y538" s="255" t="str">
        <f>IF((A538="")*(B538=""),"",IF(ISERROR(MATCH(E538,WKNrListe,0)),"WK falsch",LOOKUP(E538,WKNrListe,Übersicht!$B$7:$B$46)))</f>
        <v/>
      </c>
      <c r="Z538" s="269" t="str">
        <f>IF(((AJ538=0)*(AH538&lt;&gt;"")*(AK538="-"))+((AJ538&lt;&gt;0)*(AH538&lt;&gt;"")*(AK538="-")),IF(AG538="X",Übersicht!$C$70,Übersicht!$C$69),"-")</f>
        <v>-</v>
      </c>
      <c r="AA538" s="252" t="str">
        <f>IF((($A538="")*($B538=""))+((MID($Y538,1,4)&lt;&gt;"Wahl")*(Deckblatt!$C$14='WK-Vorlagen'!$C$82))+(Deckblatt!$C$14&lt;&gt;'WK-Vorlagen'!$C$82),"",IF(ISERROR(MATCH(VALUE(MID(G538,1,2)),Schwierigkeitsstufen!$G$7:$G$19,0)),"Gerät falsch",LOOKUP(VALUE(MID(G538,1,2)),Schwierigkeitsstufen!$G$7:$G$19,Schwierigkeitsstufen!$H$7:$H$19)))</f>
        <v/>
      </c>
      <c r="AB538" s="250" t="str">
        <f>IF((($A538="")*($B538=""))+((MID($Y538,1,4)&lt;&gt;"Wahl")*(Deckblatt!$C$14='WK-Vorlagen'!$C$82))+(Deckblatt!$C$14&lt;&gt;'WK-Vorlagen'!$C$82),"",IF(ISERROR(MATCH(VALUE(MID(H538,1,2)),Schwierigkeitsstufen!$G$7:$G$19,0)),"Gerät falsch",LOOKUP(VALUE(MID(H538,1,2)),Schwierigkeitsstufen!$G$7:$G$19,Schwierigkeitsstufen!$H$7:$H$19)))</f>
        <v/>
      </c>
      <c r="AC538" s="250" t="str">
        <f>IF((($A538="")*($B538=""))+((MID($Y538,1,4)&lt;&gt;"Wahl")*(Deckblatt!$C$14='WK-Vorlagen'!$C$82))+(Deckblatt!$C$14&lt;&gt;'WK-Vorlagen'!$C$82),"",IF(ISERROR(MATCH(VALUE(MID(I538,1,2)),Schwierigkeitsstufen!$G$7:$G$19,0)),"Gerät falsch",LOOKUP(VALUE(MID(I538,1,2)),Schwierigkeitsstufen!$G$7:$G$19,Schwierigkeitsstufen!$H$7:$H$19)))</f>
        <v/>
      </c>
      <c r="AD538" s="251" t="str">
        <f>IF((($A538="")*($B538=""))+((MID($Y538,1,4)&lt;&gt;"Wahl")*(Deckblatt!$C$14='WK-Vorlagen'!$C$82))+(Deckblatt!$C$14&lt;&gt;'WK-Vorlagen'!$C$82),"",IF(ISERROR(MATCH(VALUE(MID(J538,1,2)),Schwierigkeitsstufen!$G$7:$G$19,0)),"Gerät falsch",LOOKUP(VALUE(MID(J538,1,2)),Schwierigkeitsstufen!$G$7:$G$19,Schwierigkeitsstufen!$H$7:$H$19)))</f>
        <v/>
      </c>
      <c r="AE538" s="211"/>
      <c r="AG538" s="221" t="str">
        <f t="shared" si="72"/>
        <v/>
      </c>
      <c r="AH538" s="222" t="str">
        <f t="shared" si="74"/>
        <v/>
      </c>
      <c r="AI538" s="220">
        <f t="shared" si="79"/>
        <v>4</v>
      </c>
      <c r="AJ538" s="222">
        <f t="shared" si="75"/>
        <v>0</v>
      </c>
      <c r="AK538" s="299" t="str">
        <f>IF(ISERROR(LOOKUP(E538,WKNrListe,Übersicht!$R$7:$R$46)),"-",LOOKUP(E538,WKNrListe,Übersicht!$R$7:$R$46))</f>
        <v>-</v>
      </c>
      <c r="AL538" s="299" t="str">
        <f t="shared" si="78"/>
        <v>-</v>
      </c>
      <c r="AM538" s="303"/>
      <c r="AN538" s="174" t="str">
        <f t="shared" si="71"/>
        <v>Leer</v>
      </c>
    </row>
    <row r="539" spans="1:40" s="174" customFormat="1" ht="15" customHeight="1">
      <c r="A539" s="63"/>
      <c r="B539" s="63"/>
      <c r="C539" s="84"/>
      <c r="D539" s="85"/>
      <c r="E539" s="62"/>
      <c r="F539" s="62"/>
      <c r="G539" s="62"/>
      <c r="H539" s="62"/>
      <c r="I539" s="62"/>
      <c r="J539" s="62"/>
      <c r="K539" s="62"/>
      <c r="L539" s="62"/>
      <c r="M539" s="62"/>
      <c r="N539" s="62"/>
      <c r="O539" s="62"/>
      <c r="P539" s="62"/>
      <c r="Q539" s="62"/>
      <c r="R539" s="62"/>
      <c r="S539" s="258"/>
      <c r="T539" s="248" t="str">
        <f t="shared" si="76"/>
        <v/>
      </c>
      <c r="U539" s="249" t="str">
        <f t="shared" si="77"/>
        <v/>
      </c>
      <c r="V539" s="294" t="str">
        <f t="shared" si="73"/>
        <v/>
      </c>
      <c r="W539" s="294" t="str">
        <f>IF(((E539="")+(F539="")),"",IF(VLOOKUP(F539,Mannschaften!$A$1:$B$54,2,FALSE)&lt;&gt;E539,"Reiter Mannschaften füllen",""))</f>
        <v/>
      </c>
      <c r="X539" s="248" t="str">
        <f>IF(ISBLANK(C539),"",IF((U539&gt;(LOOKUP(E539,WKNrListe,Übersicht!$O$7:$O$46)))+(U539&lt;(LOOKUP(E539,WKNrListe,Übersicht!$P$7:$P$46))),"JG falsch",""))</f>
        <v/>
      </c>
      <c r="Y539" s="255" t="str">
        <f>IF((A539="")*(B539=""),"",IF(ISERROR(MATCH(E539,WKNrListe,0)),"WK falsch",LOOKUP(E539,WKNrListe,Übersicht!$B$7:$B$46)))</f>
        <v/>
      </c>
      <c r="Z539" s="269" t="str">
        <f>IF(((AJ539=0)*(AH539&lt;&gt;"")*(AK539="-"))+((AJ539&lt;&gt;0)*(AH539&lt;&gt;"")*(AK539="-")),IF(AG539="X",Übersicht!$C$70,Übersicht!$C$69),"-")</f>
        <v>-</v>
      </c>
      <c r="AA539" s="252" t="str">
        <f>IF((($A539="")*($B539=""))+((MID($Y539,1,4)&lt;&gt;"Wahl")*(Deckblatt!$C$14='WK-Vorlagen'!$C$82))+(Deckblatt!$C$14&lt;&gt;'WK-Vorlagen'!$C$82),"",IF(ISERROR(MATCH(VALUE(MID(G539,1,2)),Schwierigkeitsstufen!$G$7:$G$19,0)),"Gerät falsch",LOOKUP(VALUE(MID(G539,1,2)),Schwierigkeitsstufen!$G$7:$G$19,Schwierigkeitsstufen!$H$7:$H$19)))</f>
        <v/>
      </c>
      <c r="AB539" s="250" t="str">
        <f>IF((($A539="")*($B539=""))+((MID($Y539,1,4)&lt;&gt;"Wahl")*(Deckblatt!$C$14='WK-Vorlagen'!$C$82))+(Deckblatt!$C$14&lt;&gt;'WK-Vorlagen'!$C$82),"",IF(ISERROR(MATCH(VALUE(MID(H539,1,2)),Schwierigkeitsstufen!$G$7:$G$19,0)),"Gerät falsch",LOOKUP(VALUE(MID(H539,1,2)),Schwierigkeitsstufen!$G$7:$G$19,Schwierigkeitsstufen!$H$7:$H$19)))</f>
        <v/>
      </c>
      <c r="AC539" s="250" t="str">
        <f>IF((($A539="")*($B539=""))+((MID($Y539,1,4)&lt;&gt;"Wahl")*(Deckblatt!$C$14='WK-Vorlagen'!$C$82))+(Deckblatt!$C$14&lt;&gt;'WK-Vorlagen'!$C$82),"",IF(ISERROR(MATCH(VALUE(MID(I539,1,2)),Schwierigkeitsstufen!$G$7:$G$19,0)),"Gerät falsch",LOOKUP(VALUE(MID(I539,1,2)),Schwierigkeitsstufen!$G$7:$G$19,Schwierigkeitsstufen!$H$7:$H$19)))</f>
        <v/>
      </c>
      <c r="AD539" s="251" t="str">
        <f>IF((($A539="")*($B539=""))+((MID($Y539,1,4)&lt;&gt;"Wahl")*(Deckblatt!$C$14='WK-Vorlagen'!$C$82))+(Deckblatt!$C$14&lt;&gt;'WK-Vorlagen'!$C$82),"",IF(ISERROR(MATCH(VALUE(MID(J539,1,2)),Schwierigkeitsstufen!$G$7:$G$19,0)),"Gerät falsch",LOOKUP(VALUE(MID(J539,1,2)),Schwierigkeitsstufen!$G$7:$G$19,Schwierigkeitsstufen!$H$7:$H$19)))</f>
        <v/>
      </c>
      <c r="AE539" s="211"/>
      <c r="AG539" s="221" t="str">
        <f t="shared" si="72"/>
        <v/>
      </c>
      <c r="AH539" s="222" t="str">
        <f t="shared" si="74"/>
        <v/>
      </c>
      <c r="AI539" s="220">
        <f t="shared" si="79"/>
        <v>4</v>
      </c>
      <c r="AJ539" s="222">
        <f t="shared" si="75"/>
        <v>0</v>
      </c>
      <c r="AK539" s="299" t="str">
        <f>IF(ISERROR(LOOKUP(E539,WKNrListe,Übersicht!$R$7:$R$46)),"-",LOOKUP(E539,WKNrListe,Übersicht!$R$7:$R$46))</f>
        <v>-</v>
      </c>
      <c r="AL539" s="299" t="str">
        <f t="shared" si="78"/>
        <v>-</v>
      </c>
      <c r="AM539" s="303"/>
      <c r="AN539" s="174" t="str">
        <f t="shared" si="71"/>
        <v>Leer</v>
      </c>
    </row>
    <row r="540" spans="1:40" s="174" customFormat="1" ht="15" customHeight="1">
      <c r="A540" s="63"/>
      <c r="B540" s="63"/>
      <c r="C540" s="84"/>
      <c r="D540" s="85"/>
      <c r="E540" s="62"/>
      <c r="F540" s="62"/>
      <c r="G540" s="62"/>
      <c r="H540" s="62"/>
      <c r="I540" s="62"/>
      <c r="J540" s="62"/>
      <c r="K540" s="62"/>
      <c r="L540" s="62"/>
      <c r="M540" s="62"/>
      <c r="N540" s="62"/>
      <c r="O540" s="62"/>
      <c r="P540" s="62"/>
      <c r="Q540" s="62"/>
      <c r="R540" s="62"/>
      <c r="S540" s="258"/>
      <c r="T540" s="248" t="str">
        <f t="shared" si="76"/>
        <v/>
      </c>
      <c r="U540" s="249" t="str">
        <f t="shared" si="77"/>
        <v/>
      </c>
      <c r="V540" s="294" t="str">
        <f t="shared" si="73"/>
        <v/>
      </c>
      <c r="W540" s="294" t="str">
        <f>IF(((E540="")+(F540="")),"",IF(VLOOKUP(F540,Mannschaften!$A$1:$B$54,2,FALSE)&lt;&gt;E540,"Reiter Mannschaften füllen",""))</f>
        <v/>
      </c>
      <c r="X540" s="248" t="str">
        <f>IF(ISBLANK(C540),"",IF((U540&gt;(LOOKUP(E540,WKNrListe,Übersicht!$O$7:$O$46)))+(U540&lt;(LOOKUP(E540,WKNrListe,Übersicht!$P$7:$P$46))),"JG falsch",""))</f>
        <v/>
      </c>
      <c r="Y540" s="255" t="str">
        <f>IF((A540="")*(B540=""),"",IF(ISERROR(MATCH(E540,WKNrListe,0)),"WK falsch",LOOKUP(E540,WKNrListe,Übersicht!$B$7:$B$46)))</f>
        <v/>
      </c>
      <c r="Z540" s="269" t="str">
        <f>IF(((AJ540=0)*(AH540&lt;&gt;"")*(AK540="-"))+((AJ540&lt;&gt;0)*(AH540&lt;&gt;"")*(AK540="-")),IF(AG540="X",Übersicht!$C$70,Übersicht!$C$69),"-")</f>
        <v>-</v>
      </c>
      <c r="AA540" s="252" t="str">
        <f>IF((($A540="")*($B540=""))+((MID($Y540,1,4)&lt;&gt;"Wahl")*(Deckblatt!$C$14='WK-Vorlagen'!$C$82))+(Deckblatt!$C$14&lt;&gt;'WK-Vorlagen'!$C$82),"",IF(ISERROR(MATCH(VALUE(MID(G540,1,2)),Schwierigkeitsstufen!$G$7:$G$19,0)),"Gerät falsch",LOOKUP(VALUE(MID(G540,1,2)),Schwierigkeitsstufen!$G$7:$G$19,Schwierigkeitsstufen!$H$7:$H$19)))</f>
        <v/>
      </c>
      <c r="AB540" s="250" t="str">
        <f>IF((($A540="")*($B540=""))+((MID($Y540,1,4)&lt;&gt;"Wahl")*(Deckblatt!$C$14='WK-Vorlagen'!$C$82))+(Deckblatt!$C$14&lt;&gt;'WK-Vorlagen'!$C$82),"",IF(ISERROR(MATCH(VALUE(MID(H540,1,2)),Schwierigkeitsstufen!$G$7:$G$19,0)),"Gerät falsch",LOOKUP(VALUE(MID(H540,1,2)),Schwierigkeitsstufen!$G$7:$G$19,Schwierigkeitsstufen!$H$7:$H$19)))</f>
        <v/>
      </c>
      <c r="AC540" s="250" t="str">
        <f>IF((($A540="")*($B540=""))+((MID($Y540,1,4)&lt;&gt;"Wahl")*(Deckblatt!$C$14='WK-Vorlagen'!$C$82))+(Deckblatt!$C$14&lt;&gt;'WK-Vorlagen'!$C$82),"",IF(ISERROR(MATCH(VALUE(MID(I540,1,2)),Schwierigkeitsstufen!$G$7:$G$19,0)),"Gerät falsch",LOOKUP(VALUE(MID(I540,1,2)),Schwierigkeitsstufen!$G$7:$G$19,Schwierigkeitsstufen!$H$7:$H$19)))</f>
        <v/>
      </c>
      <c r="AD540" s="251" t="str">
        <f>IF((($A540="")*($B540=""))+((MID($Y540,1,4)&lt;&gt;"Wahl")*(Deckblatt!$C$14='WK-Vorlagen'!$C$82))+(Deckblatt!$C$14&lt;&gt;'WK-Vorlagen'!$C$82),"",IF(ISERROR(MATCH(VALUE(MID(J540,1,2)),Schwierigkeitsstufen!$G$7:$G$19,0)),"Gerät falsch",LOOKUP(VALUE(MID(J540,1,2)),Schwierigkeitsstufen!$G$7:$G$19,Schwierigkeitsstufen!$H$7:$H$19)))</f>
        <v/>
      </c>
      <c r="AE540" s="211"/>
      <c r="AG540" s="221" t="str">
        <f t="shared" si="72"/>
        <v/>
      </c>
      <c r="AH540" s="222" t="str">
        <f t="shared" si="74"/>
        <v/>
      </c>
      <c r="AI540" s="220">
        <f t="shared" si="79"/>
        <v>4</v>
      </c>
      <c r="AJ540" s="222">
        <f t="shared" si="75"/>
        <v>0</v>
      </c>
      <c r="AK540" s="299" t="str">
        <f>IF(ISERROR(LOOKUP(E540,WKNrListe,Übersicht!$R$7:$R$46)),"-",LOOKUP(E540,WKNrListe,Übersicht!$R$7:$R$46))</f>
        <v>-</v>
      </c>
      <c r="AL540" s="299" t="str">
        <f t="shared" si="78"/>
        <v>-</v>
      </c>
      <c r="AM540" s="303"/>
      <c r="AN540" s="174" t="str">
        <f t="shared" si="71"/>
        <v>Leer</v>
      </c>
    </row>
    <row r="541" spans="1:40" s="174" customFormat="1" ht="15" customHeight="1">
      <c r="A541" s="63"/>
      <c r="B541" s="63"/>
      <c r="C541" s="84"/>
      <c r="D541" s="85"/>
      <c r="E541" s="62"/>
      <c r="F541" s="62"/>
      <c r="G541" s="62"/>
      <c r="H541" s="62"/>
      <c r="I541" s="62"/>
      <c r="J541" s="62"/>
      <c r="K541" s="62"/>
      <c r="L541" s="62"/>
      <c r="M541" s="62"/>
      <c r="N541" s="62"/>
      <c r="O541" s="62"/>
      <c r="P541" s="62"/>
      <c r="Q541" s="62"/>
      <c r="R541" s="62"/>
      <c r="S541" s="258"/>
      <c r="T541" s="248" t="str">
        <f t="shared" si="76"/>
        <v/>
      </c>
      <c r="U541" s="249" t="str">
        <f t="shared" si="77"/>
        <v/>
      </c>
      <c r="V541" s="294" t="str">
        <f t="shared" si="73"/>
        <v/>
      </c>
      <c r="W541" s="294" t="str">
        <f>IF(((E541="")+(F541="")),"",IF(VLOOKUP(F541,Mannschaften!$A$1:$B$54,2,FALSE)&lt;&gt;E541,"Reiter Mannschaften füllen",""))</f>
        <v/>
      </c>
      <c r="X541" s="248" t="str">
        <f>IF(ISBLANK(C541),"",IF((U541&gt;(LOOKUP(E541,WKNrListe,Übersicht!$O$7:$O$46)))+(U541&lt;(LOOKUP(E541,WKNrListe,Übersicht!$P$7:$P$46))),"JG falsch",""))</f>
        <v/>
      </c>
      <c r="Y541" s="255" t="str">
        <f>IF((A541="")*(B541=""),"",IF(ISERROR(MATCH(E541,WKNrListe,0)),"WK falsch",LOOKUP(E541,WKNrListe,Übersicht!$B$7:$B$46)))</f>
        <v/>
      </c>
      <c r="Z541" s="269" t="str">
        <f>IF(((AJ541=0)*(AH541&lt;&gt;"")*(AK541="-"))+((AJ541&lt;&gt;0)*(AH541&lt;&gt;"")*(AK541="-")),IF(AG541="X",Übersicht!$C$70,Übersicht!$C$69),"-")</f>
        <v>-</v>
      </c>
      <c r="AA541" s="252" t="str">
        <f>IF((($A541="")*($B541=""))+((MID($Y541,1,4)&lt;&gt;"Wahl")*(Deckblatt!$C$14='WK-Vorlagen'!$C$82))+(Deckblatt!$C$14&lt;&gt;'WK-Vorlagen'!$C$82),"",IF(ISERROR(MATCH(VALUE(MID(G541,1,2)),Schwierigkeitsstufen!$G$7:$G$19,0)),"Gerät falsch",LOOKUP(VALUE(MID(G541,1,2)),Schwierigkeitsstufen!$G$7:$G$19,Schwierigkeitsstufen!$H$7:$H$19)))</f>
        <v/>
      </c>
      <c r="AB541" s="250" t="str">
        <f>IF((($A541="")*($B541=""))+((MID($Y541,1,4)&lt;&gt;"Wahl")*(Deckblatt!$C$14='WK-Vorlagen'!$C$82))+(Deckblatt!$C$14&lt;&gt;'WK-Vorlagen'!$C$82),"",IF(ISERROR(MATCH(VALUE(MID(H541,1,2)),Schwierigkeitsstufen!$G$7:$G$19,0)),"Gerät falsch",LOOKUP(VALUE(MID(H541,1,2)),Schwierigkeitsstufen!$G$7:$G$19,Schwierigkeitsstufen!$H$7:$H$19)))</f>
        <v/>
      </c>
      <c r="AC541" s="250" t="str">
        <f>IF((($A541="")*($B541=""))+((MID($Y541,1,4)&lt;&gt;"Wahl")*(Deckblatt!$C$14='WK-Vorlagen'!$C$82))+(Deckblatt!$C$14&lt;&gt;'WK-Vorlagen'!$C$82),"",IF(ISERROR(MATCH(VALUE(MID(I541,1,2)),Schwierigkeitsstufen!$G$7:$G$19,0)),"Gerät falsch",LOOKUP(VALUE(MID(I541,1,2)),Schwierigkeitsstufen!$G$7:$G$19,Schwierigkeitsstufen!$H$7:$H$19)))</f>
        <v/>
      </c>
      <c r="AD541" s="251" t="str">
        <f>IF((($A541="")*($B541=""))+((MID($Y541,1,4)&lt;&gt;"Wahl")*(Deckblatt!$C$14='WK-Vorlagen'!$C$82))+(Deckblatt!$C$14&lt;&gt;'WK-Vorlagen'!$C$82),"",IF(ISERROR(MATCH(VALUE(MID(J541,1,2)),Schwierigkeitsstufen!$G$7:$G$19,0)),"Gerät falsch",LOOKUP(VALUE(MID(J541,1,2)),Schwierigkeitsstufen!$G$7:$G$19,Schwierigkeitsstufen!$H$7:$H$19)))</f>
        <v/>
      </c>
      <c r="AE541" s="211"/>
      <c r="AG541" s="221" t="str">
        <f t="shared" si="72"/>
        <v/>
      </c>
      <c r="AH541" s="222" t="str">
        <f t="shared" si="74"/>
        <v/>
      </c>
      <c r="AI541" s="220">
        <f t="shared" si="79"/>
        <v>4</v>
      </c>
      <c r="AJ541" s="222">
        <f t="shared" si="75"/>
        <v>0</v>
      </c>
      <c r="AK541" s="299" t="str">
        <f>IF(ISERROR(LOOKUP(E541,WKNrListe,Übersicht!$R$7:$R$46)),"-",LOOKUP(E541,WKNrListe,Übersicht!$R$7:$R$46))</f>
        <v>-</v>
      </c>
      <c r="AL541" s="299" t="str">
        <f t="shared" si="78"/>
        <v>-</v>
      </c>
      <c r="AM541" s="303"/>
      <c r="AN541" s="174" t="str">
        <f t="shared" si="71"/>
        <v>Leer</v>
      </c>
    </row>
    <row r="542" spans="1:40" s="174" customFormat="1" ht="15" customHeight="1">
      <c r="A542" s="63"/>
      <c r="B542" s="63"/>
      <c r="C542" s="84"/>
      <c r="D542" s="85"/>
      <c r="E542" s="62"/>
      <c r="F542" s="62"/>
      <c r="G542" s="62"/>
      <c r="H542" s="62"/>
      <c r="I542" s="62"/>
      <c r="J542" s="62"/>
      <c r="K542" s="62"/>
      <c r="L542" s="62"/>
      <c r="M542" s="62"/>
      <c r="N542" s="62"/>
      <c r="O542" s="62"/>
      <c r="P542" s="62"/>
      <c r="Q542" s="62"/>
      <c r="R542" s="62"/>
      <c r="S542" s="258"/>
      <c r="T542" s="248" t="str">
        <f t="shared" si="76"/>
        <v/>
      </c>
      <c r="U542" s="249" t="str">
        <f t="shared" si="77"/>
        <v/>
      </c>
      <c r="V542" s="294" t="str">
        <f t="shared" si="73"/>
        <v/>
      </c>
      <c r="W542" s="294" t="str">
        <f>IF(((E542="")+(F542="")),"",IF(VLOOKUP(F542,Mannschaften!$A$1:$B$54,2,FALSE)&lt;&gt;E542,"Reiter Mannschaften füllen",""))</f>
        <v/>
      </c>
      <c r="X542" s="248" t="str">
        <f>IF(ISBLANK(C542),"",IF((U542&gt;(LOOKUP(E542,WKNrListe,Übersicht!$O$7:$O$46)))+(U542&lt;(LOOKUP(E542,WKNrListe,Übersicht!$P$7:$P$46))),"JG falsch",""))</f>
        <v/>
      </c>
      <c r="Y542" s="255" t="str">
        <f>IF((A542="")*(B542=""),"",IF(ISERROR(MATCH(E542,WKNrListe,0)),"WK falsch",LOOKUP(E542,WKNrListe,Übersicht!$B$7:$B$46)))</f>
        <v/>
      </c>
      <c r="Z542" s="269" t="str">
        <f>IF(((AJ542=0)*(AH542&lt;&gt;"")*(AK542="-"))+((AJ542&lt;&gt;0)*(AH542&lt;&gt;"")*(AK542="-")),IF(AG542="X",Übersicht!$C$70,Übersicht!$C$69),"-")</f>
        <v>-</v>
      </c>
      <c r="AA542" s="252" t="str">
        <f>IF((($A542="")*($B542=""))+((MID($Y542,1,4)&lt;&gt;"Wahl")*(Deckblatt!$C$14='WK-Vorlagen'!$C$82))+(Deckblatt!$C$14&lt;&gt;'WK-Vorlagen'!$C$82),"",IF(ISERROR(MATCH(VALUE(MID(G542,1,2)),Schwierigkeitsstufen!$G$7:$G$19,0)),"Gerät falsch",LOOKUP(VALUE(MID(G542,1,2)),Schwierigkeitsstufen!$G$7:$G$19,Schwierigkeitsstufen!$H$7:$H$19)))</f>
        <v/>
      </c>
      <c r="AB542" s="250" t="str">
        <f>IF((($A542="")*($B542=""))+((MID($Y542,1,4)&lt;&gt;"Wahl")*(Deckblatt!$C$14='WK-Vorlagen'!$C$82))+(Deckblatt!$C$14&lt;&gt;'WK-Vorlagen'!$C$82),"",IF(ISERROR(MATCH(VALUE(MID(H542,1,2)),Schwierigkeitsstufen!$G$7:$G$19,0)),"Gerät falsch",LOOKUP(VALUE(MID(H542,1,2)),Schwierigkeitsstufen!$G$7:$G$19,Schwierigkeitsstufen!$H$7:$H$19)))</f>
        <v/>
      </c>
      <c r="AC542" s="250" t="str">
        <f>IF((($A542="")*($B542=""))+((MID($Y542,1,4)&lt;&gt;"Wahl")*(Deckblatt!$C$14='WK-Vorlagen'!$C$82))+(Deckblatt!$C$14&lt;&gt;'WK-Vorlagen'!$C$82),"",IF(ISERROR(MATCH(VALUE(MID(I542,1,2)),Schwierigkeitsstufen!$G$7:$G$19,0)),"Gerät falsch",LOOKUP(VALUE(MID(I542,1,2)),Schwierigkeitsstufen!$G$7:$G$19,Schwierigkeitsstufen!$H$7:$H$19)))</f>
        <v/>
      </c>
      <c r="AD542" s="251" t="str">
        <f>IF((($A542="")*($B542=""))+((MID($Y542,1,4)&lt;&gt;"Wahl")*(Deckblatt!$C$14='WK-Vorlagen'!$C$82))+(Deckblatt!$C$14&lt;&gt;'WK-Vorlagen'!$C$82),"",IF(ISERROR(MATCH(VALUE(MID(J542,1,2)),Schwierigkeitsstufen!$G$7:$G$19,0)),"Gerät falsch",LOOKUP(VALUE(MID(J542,1,2)),Schwierigkeitsstufen!$G$7:$G$19,Schwierigkeitsstufen!$H$7:$H$19)))</f>
        <v/>
      </c>
      <c r="AE542" s="211"/>
      <c r="AG542" s="221" t="str">
        <f t="shared" si="72"/>
        <v/>
      </c>
      <c r="AH542" s="222" t="str">
        <f t="shared" si="74"/>
        <v/>
      </c>
      <c r="AI542" s="220">
        <f t="shared" si="79"/>
        <v>4</v>
      </c>
      <c r="AJ542" s="222">
        <f t="shared" si="75"/>
        <v>0</v>
      </c>
      <c r="AK542" s="299" t="str">
        <f>IF(ISERROR(LOOKUP(E542,WKNrListe,Übersicht!$R$7:$R$46)),"-",LOOKUP(E542,WKNrListe,Übersicht!$R$7:$R$46))</f>
        <v>-</v>
      </c>
      <c r="AL542" s="299" t="str">
        <f t="shared" si="78"/>
        <v>-</v>
      </c>
      <c r="AM542" s="303"/>
      <c r="AN542" s="174" t="str">
        <f t="shared" si="71"/>
        <v>Leer</v>
      </c>
    </row>
    <row r="543" spans="1:40" s="174" customFormat="1" ht="15" customHeight="1">
      <c r="A543" s="63"/>
      <c r="B543" s="63"/>
      <c r="C543" s="84"/>
      <c r="D543" s="85"/>
      <c r="E543" s="62"/>
      <c r="F543" s="62"/>
      <c r="G543" s="62"/>
      <c r="H543" s="62"/>
      <c r="I543" s="62"/>
      <c r="J543" s="62"/>
      <c r="K543" s="62"/>
      <c r="L543" s="62"/>
      <c r="M543" s="62"/>
      <c r="N543" s="62"/>
      <c r="O543" s="62"/>
      <c r="P543" s="62"/>
      <c r="Q543" s="62"/>
      <c r="R543" s="62"/>
      <c r="S543" s="258"/>
      <c r="T543" s="248" t="str">
        <f t="shared" si="76"/>
        <v/>
      </c>
      <c r="U543" s="249" t="str">
        <f t="shared" si="77"/>
        <v/>
      </c>
      <c r="V543" s="294" t="str">
        <f t="shared" si="73"/>
        <v/>
      </c>
      <c r="W543" s="294" t="str">
        <f>IF(((E543="")+(F543="")),"",IF(VLOOKUP(F543,Mannschaften!$A$1:$B$54,2,FALSE)&lt;&gt;E543,"Reiter Mannschaften füllen",""))</f>
        <v/>
      </c>
      <c r="X543" s="248" t="str">
        <f>IF(ISBLANK(C543),"",IF((U543&gt;(LOOKUP(E543,WKNrListe,Übersicht!$O$7:$O$46)))+(U543&lt;(LOOKUP(E543,WKNrListe,Übersicht!$P$7:$P$46))),"JG falsch",""))</f>
        <v/>
      </c>
      <c r="Y543" s="255" t="str">
        <f>IF((A543="")*(B543=""),"",IF(ISERROR(MATCH(E543,WKNrListe,0)),"WK falsch",LOOKUP(E543,WKNrListe,Übersicht!$B$7:$B$46)))</f>
        <v/>
      </c>
      <c r="Z543" s="269" t="str">
        <f>IF(((AJ543=0)*(AH543&lt;&gt;"")*(AK543="-"))+((AJ543&lt;&gt;0)*(AH543&lt;&gt;"")*(AK543="-")),IF(AG543="X",Übersicht!$C$70,Übersicht!$C$69),"-")</f>
        <v>-</v>
      </c>
      <c r="AA543" s="252" t="str">
        <f>IF((($A543="")*($B543=""))+((MID($Y543,1,4)&lt;&gt;"Wahl")*(Deckblatt!$C$14='WK-Vorlagen'!$C$82))+(Deckblatt!$C$14&lt;&gt;'WK-Vorlagen'!$C$82),"",IF(ISERROR(MATCH(VALUE(MID(G543,1,2)),Schwierigkeitsstufen!$G$7:$G$19,0)),"Gerät falsch",LOOKUP(VALUE(MID(G543,1,2)),Schwierigkeitsstufen!$G$7:$G$19,Schwierigkeitsstufen!$H$7:$H$19)))</f>
        <v/>
      </c>
      <c r="AB543" s="250" t="str">
        <f>IF((($A543="")*($B543=""))+((MID($Y543,1,4)&lt;&gt;"Wahl")*(Deckblatt!$C$14='WK-Vorlagen'!$C$82))+(Deckblatt!$C$14&lt;&gt;'WK-Vorlagen'!$C$82),"",IF(ISERROR(MATCH(VALUE(MID(H543,1,2)),Schwierigkeitsstufen!$G$7:$G$19,0)),"Gerät falsch",LOOKUP(VALUE(MID(H543,1,2)),Schwierigkeitsstufen!$G$7:$G$19,Schwierigkeitsstufen!$H$7:$H$19)))</f>
        <v/>
      </c>
      <c r="AC543" s="250" t="str">
        <f>IF((($A543="")*($B543=""))+((MID($Y543,1,4)&lt;&gt;"Wahl")*(Deckblatt!$C$14='WK-Vorlagen'!$C$82))+(Deckblatt!$C$14&lt;&gt;'WK-Vorlagen'!$C$82),"",IF(ISERROR(MATCH(VALUE(MID(I543,1,2)),Schwierigkeitsstufen!$G$7:$G$19,0)),"Gerät falsch",LOOKUP(VALUE(MID(I543,1,2)),Schwierigkeitsstufen!$G$7:$G$19,Schwierigkeitsstufen!$H$7:$H$19)))</f>
        <v/>
      </c>
      <c r="AD543" s="251" t="str">
        <f>IF((($A543="")*($B543=""))+((MID($Y543,1,4)&lt;&gt;"Wahl")*(Deckblatt!$C$14='WK-Vorlagen'!$C$82))+(Deckblatt!$C$14&lt;&gt;'WK-Vorlagen'!$C$82),"",IF(ISERROR(MATCH(VALUE(MID(J543,1,2)),Schwierigkeitsstufen!$G$7:$G$19,0)),"Gerät falsch",LOOKUP(VALUE(MID(J543,1,2)),Schwierigkeitsstufen!$G$7:$G$19,Schwierigkeitsstufen!$H$7:$H$19)))</f>
        <v/>
      </c>
      <c r="AE543" s="211"/>
      <c r="AG543" s="221" t="str">
        <f t="shared" si="72"/>
        <v/>
      </c>
      <c r="AH543" s="222" t="str">
        <f t="shared" si="74"/>
        <v/>
      </c>
      <c r="AI543" s="220">
        <f t="shared" si="79"/>
        <v>4</v>
      </c>
      <c r="AJ543" s="222">
        <f t="shared" si="75"/>
        <v>0</v>
      </c>
      <c r="AK543" s="299" t="str">
        <f>IF(ISERROR(LOOKUP(E543,WKNrListe,Übersicht!$R$7:$R$46)),"-",LOOKUP(E543,WKNrListe,Übersicht!$R$7:$R$46))</f>
        <v>-</v>
      </c>
      <c r="AL543" s="299" t="str">
        <f t="shared" si="78"/>
        <v>-</v>
      </c>
      <c r="AM543" s="303"/>
      <c r="AN543" s="174" t="str">
        <f t="shared" si="71"/>
        <v>Leer</v>
      </c>
    </row>
    <row r="544" spans="1:40" s="174" customFormat="1" ht="15" customHeight="1">
      <c r="A544" s="63"/>
      <c r="B544" s="63"/>
      <c r="C544" s="84"/>
      <c r="D544" s="85"/>
      <c r="E544" s="62"/>
      <c r="F544" s="62"/>
      <c r="G544" s="62"/>
      <c r="H544" s="62"/>
      <c r="I544" s="62"/>
      <c r="J544" s="62"/>
      <c r="K544" s="62"/>
      <c r="L544" s="62"/>
      <c r="M544" s="62"/>
      <c r="N544" s="62"/>
      <c r="O544" s="62"/>
      <c r="P544" s="62"/>
      <c r="Q544" s="62"/>
      <c r="R544" s="62"/>
      <c r="S544" s="258"/>
      <c r="T544" s="248" t="str">
        <f t="shared" si="76"/>
        <v/>
      </c>
      <c r="U544" s="249" t="str">
        <f t="shared" si="77"/>
        <v/>
      </c>
      <c r="V544" s="294" t="str">
        <f t="shared" si="73"/>
        <v/>
      </c>
      <c r="W544" s="294" t="str">
        <f>IF(((E544="")+(F544="")),"",IF(VLOOKUP(F544,Mannschaften!$A$1:$B$54,2,FALSE)&lt;&gt;E544,"Reiter Mannschaften füllen",""))</f>
        <v/>
      </c>
      <c r="X544" s="248" t="str">
        <f>IF(ISBLANK(C544),"",IF((U544&gt;(LOOKUP(E544,WKNrListe,Übersicht!$O$7:$O$46)))+(U544&lt;(LOOKUP(E544,WKNrListe,Übersicht!$P$7:$P$46))),"JG falsch",""))</f>
        <v/>
      </c>
      <c r="Y544" s="255" t="str">
        <f>IF((A544="")*(B544=""),"",IF(ISERROR(MATCH(E544,WKNrListe,0)),"WK falsch",LOOKUP(E544,WKNrListe,Übersicht!$B$7:$B$46)))</f>
        <v/>
      </c>
      <c r="Z544" s="269" t="str">
        <f>IF(((AJ544=0)*(AH544&lt;&gt;"")*(AK544="-"))+((AJ544&lt;&gt;0)*(AH544&lt;&gt;"")*(AK544="-")),IF(AG544="X",Übersicht!$C$70,Übersicht!$C$69),"-")</f>
        <v>-</v>
      </c>
      <c r="AA544" s="252" t="str">
        <f>IF((($A544="")*($B544=""))+((MID($Y544,1,4)&lt;&gt;"Wahl")*(Deckblatt!$C$14='WK-Vorlagen'!$C$82))+(Deckblatt!$C$14&lt;&gt;'WK-Vorlagen'!$C$82),"",IF(ISERROR(MATCH(VALUE(MID(G544,1,2)),Schwierigkeitsstufen!$G$7:$G$19,0)),"Gerät falsch",LOOKUP(VALUE(MID(G544,1,2)),Schwierigkeitsstufen!$G$7:$G$19,Schwierigkeitsstufen!$H$7:$H$19)))</f>
        <v/>
      </c>
      <c r="AB544" s="250" t="str">
        <f>IF((($A544="")*($B544=""))+((MID($Y544,1,4)&lt;&gt;"Wahl")*(Deckblatt!$C$14='WK-Vorlagen'!$C$82))+(Deckblatt!$C$14&lt;&gt;'WK-Vorlagen'!$C$82),"",IF(ISERROR(MATCH(VALUE(MID(H544,1,2)),Schwierigkeitsstufen!$G$7:$G$19,0)),"Gerät falsch",LOOKUP(VALUE(MID(H544,1,2)),Schwierigkeitsstufen!$G$7:$G$19,Schwierigkeitsstufen!$H$7:$H$19)))</f>
        <v/>
      </c>
      <c r="AC544" s="250" t="str">
        <f>IF((($A544="")*($B544=""))+((MID($Y544,1,4)&lt;&gt;"Wahl")*(Deckblatt!$C$14='WK-Vorlagen'!$C$82))+(Deckblatt!$C$14&lt;&gt;'WK-Vorlagen'!$C$82),"",IF(ISERROR(MATCH(VALUE(MID(I544,1,2)),Schwierigkeitsstufen!$G$7:$G$19,0)),"Gerät falsch",LOOKUP(VALUE(MID(I544,1,2)),Schwierigkeitsstufen!$G$7:$G$19,Schwierigkeitsstufen!$H$7:$H$19)))</f>
        <v/>
      </c>
      <c r="AD544" s="251" t="str">
        <f>IF((($A544="")*($B544=""))+((MID($Y544,1,4)&lt;&gt;"Wahl")*(Deckblatt!$C$14='WK-Vorlagen'!$C$82))+(Deckblatt!$C$14&lt;&gt;'WK-Vorlagen'!$C$82),"",IF(ISERROR(MATCH(VALUE(MID(J544,1,2)),Schwierigkeitsstufen!$G$7:$G$19,0)),"Gerät falsch",LOOKUP(VALUE(MID(J544,1,2)),Schwierigkeitsstufen!$G$7:$G$19,Schwierigkeitsstufen!$H$7:$H$19)))</f>
        <v/>
      </c>
      <c r="AE544" s="211"/>
      <c r="AG544" s="221" t="str">
        <f t="shared" si="72"/>
        <v/>
      </c>
      <c r="AH544" s="222" t="str">
        <f t="shared" si="74"/>
        <v/>
      </c>
      <c r="AI544" s="220">
        <f t="shared" si="79"/>
        <v>4</v>
      </c>
      <c r="AJ544" s="222">
        <f t="shared" si="75"/>
        <v>0</v>
      </c>
      <c r="AK544" s="299" t="str">
        <f>IF(ISERROR(LOOKUP(E544,WKNrListe,Übersicht!$R$7:$R$46)),"-",LOOKUP(E544,WKNrListe,Übersicht!$R$7:$R$46))</f>
        <v>-</v>
      </c>
      <c r="AL544" s="299" t="str">
        <f t="shared" si="78"/>
        <v>-</v>
      </c>
      <c r="AM544" s="303"/>
      <c r="AN544" s="174" t="str">
        <f t="shared" si="71"/>
        <v>Leer</v>
      </c>
    </row>
    <row r="545" spans="1:40" s="174" customFormat="1" ht="15" customHeight="1">
      <c r="A545" s="63"/>
      <c r="B545" s="63"/>
      <c r="C545" s="84"/>
      <c r="D545" s="85"/>
      <c r="E545" s="62"/>
      <c r="F545" s="62"/>
      <c r="G545" s="62"/>
      <c r="H545" s="62"/>
      <c r="I545" s="62"/>
      <c r="J545" s="62"/>
      <c r="K545" s="62"/>
      <c r="L545" s="62"/>
      <c r="M545" s="62"/>
      <c r="N545" s="62"/>
      <c r="O545" s="62"/>
      <c r="P545" s="62"/>
      <c r="Q545" s="62"/>
      <c r="R545" s="62"/>
      <c r="S545" s="258"/>
      <c r="T545" s="248" t="str">
        <f t="shared" si="76"/>
        <v/>
      </c>
      <c r="U545" s="249" t="str">
        <f t="shared" si="77"/>
        <v/>
      </c>
      <c r="V545" s="294" t="str">
        <f t="shared" si="73"/>
        <v/>
      </c>
      <c r="W545" s="294" t="str">
        <f>IF(((E545="")+(F545="")),"",IF(VLOOKUP(F545,Mannschaften!$A$1:$B$54,2,FALSE)&lt;&gt;E545,"Reiter Mannschaften füllen",""))</f>
        <v/>
      </c>
      <c r="X545" s="248" t="str">
        <f>IF(ISBLANK(C545),"",IF((U545&gt;(LOOKUP(E545,WKNrListe,Übersicht!$O$7:$O$46)))+(U545&lt;(LOOKUP(E545,WKNrListe,Übersicht!$P$7:$P$46))),"JG falsch",""))</f>
        <v/>
      </c>
      <c r="Y545" s="255" t="str">
        <f>IF((A545="")*(B545=""),"",IF(ISERROR(MATCH(E545,WKNrListe,0)),"WK falsch",LOOKUP(E545,WKNrListe,Übersicht!$B$7:$B$46)))</f>
        <v/>
      </c>
      <c r="Z545" s="269" t="str">
        <f>IF(((AJ545=0)*(AH545&lt;&gt;"")*(AK545="-"))+((AJ545&lt;&gt;0)*(AH545&lt;&gt;"")*(AK545="-")),IF(AG545="X",Übersicht!$C$70,Übersicht!$C$69),"-")</f>
        <v>-</v>
      </c>
      <c r="AA545" s="252" t="str">
        <f>IF((($A545="")*($B545=""))+((MID($Y545,1,4)&lt;&gt;"Wahl")*(Deckblatt!$C$14='WK-Vorlagen'!$C$82))+(Deckblatt!$C$14&lt;&gt;'WK-Vorlagen'!$C$82),"",IF(ISERROR(MATCH(VALUE(MID(G545,1,2)),Schwierigkeitsstufen!$G$7:$G$19,0)),"Gerät falsch",LOOKUP(VALUE(MID(G545,1,2)),Schwierigkeitsstufen!$G$7:$G$19,Schwierigkeitsstufen!$H$7:$H$19)))</f>
        <v/>
      </c>
      <c r="AB545" s="250" t="str">
        <f>IF((($A545="")*($B545=""))+((MID($Y545,1,4)&lt;&gt;"Wahl")*(Deckblatt!$C$14='WK-Vorlagen'!$C$82))+(Deckblatt!$C$14&lt;&gt;'WK-Vorlagen'!$C$82),"",IF(ISERROR(MATCH(VALUE(MID(H545,1,2)),Schwierigkeitsstufen!$G$7:$G$19,0)),"Gerät falsch",LOOKUP(VALUE(MID(H545,1,2)),Schwierigkeitsstufen!$G$7:$G$19,Schwierigkeitsstufen!$H$7:$H$19)))</f>
        <v/>
      </c>
      <c r="AC545" s="250" t="str">
        <f>IF((($A545="")*($B545=""))+((MID($Y545,1,4)&lt;&gt;"Wahl")*(Deckblatt!$C$14='WK-Vorlagen'!$C$82))+(Deckblatt!$C$14&lt;&gt;'WK-Vorlagen'!$C$82),"",IF(ISERROR(MATCH(VALUE(MID(I545,1,2)),Schwierigkeitsstufen!$G$7:$G$19,0)),"Gerät falsch",LOOKUP(VALUE(MID(I545,1,2)),Schwierigkeitsstufen!$G$7:$G$19,Schwierigkeitsstufen!$H$7:$H$19)))</f>
        <v/>
      </c>
      <c r="AD545" s="251" t="str">
        <f>IF((($A545="")*($B545=""))+((MID($Y545,1,4)&lt;&gt;"Wahl")*(Deckblatt!$C$14='WK-Vorlagen'!$C$82))+(Deckblatt!$C$14&lt;&gt;'WK-Vorlagen'!$C$82),"",IF(ISERROR(MATCH(VALUE(MID(J545,1,2)),Schwierigkeitsstufen!$G$7:$G$19,0)),"Gerät falsch",LOOKUP(VALUE(MID(J545,1,2)),Schwierigkeitsstufen!$G$7:$G$19,Schwierigkeitsstufen!$H$7:$H$19)))</f>
        <v/>
      </c>
      <c r="AE545" s="211"/>
      <c r="AG545" s="221" t="str">
        <f t="shared" si="72"/>
        <v/>
      </c>
      <c r="AH545" s="222" t="str">
        <f t="shared" si="74"/>
        <v/>
      </c>
      <c r="AI545" s="220">
        <f t="shared" si="79"/>
        <v>4</v>
      </c>
      <c r="AJ545" s="222">
        <f t="shared" si="75"/>
        <v>0</v>
      </c>
      <c r="AK545" s="299" t="str">
        <f>IF(ISERROR(LOOKUP(E545,WKNrListe,Übersicht!$R$7:$R$46)),"-",LOOKUP(E545,WKNrListe,Übersicht!$R$7:$R$46))</f>
        <v>-</v>
      </c>
      <c r="AL545" s="299" t="str">
        <f t="shared" si="78"/>
        <v>-</v>
      </c>
      <c r="AM545" s="303"/>
      <c r="AN545" s="174" t="str">
        <f t="shared" si="71"/>
        <v>Leer</v>
      </c>
    </row>
    <row r="546" spans="1:40" s="174" customFormat="1" ht="15" customHeight="1">
      <c r="A546" s="63"/>
      <c r="B546" s="63"/>
      <c r="C546" s="84"/>
      <c r="D546" s="85"/>
      <c r="E546" s="62"/>
      <c r="F546" s="62"/>
      <c r="G546" s="62"/>
      <c r="H546" s="62"/>
      <c r="I546" s="62"/>
      <c r="J546" s="62"/>
      <c r="K546" s="62"/>
      <c r="L546" s="62"/>
      <c r="M546" s="62"/>
      <c r="N546" s="62"/>
      <c r="O546" s="62"/>
      <c r="P546" s="62"/>
      <c r="Q546" s="62"/>
      <c r="R546" s="62"/>
      <c r="S546" s="258"/>
      <c r="T546" s="248" t="str">
        <f t="shared" si="76"/>
        <v/>
      </c>
      <c r="U546" s="249" t="str">
        <f t="shared" si="77"/>
        <v/>
      </c>
      <c r="V546" s="294" t="str">
        <f t="shared" si="73"/>
        <v/>
      </c>
      <c r="W546" s="294" t="str">
        <f>IF(((E546="")+(F546="")),"",IF(VLOOKUP(F546,Mannschaften!$A$1:$B$54,2,FALSE)&lt;&gt;E546,"Reiter Mannschaften füllen",""))</f>
        <v/>
      </c>
      <c r="X546" s="248" t="str">
        <f>IF(ISBLANK(C546),"",IF((U546&gt;(LOOKUP(E546,WKNrListe,Übersicht!$O$7:$O$46)))+(U546&lt;(LOOKUP(E546,WKNrListe,Übersicht!$P$7:$P$46))),"JG falsch",""))</f>
        <v/>
      </c>
      <c r="Y546" s="255" t="str">
        <f>IF((A546="")*(B546=""),"",IF(ISERROR(MATCH(E546,WKNrListe,0)),"WK falsch",LOOKUP(E546,WKNrListe,Übersicht!$B$7:$B$46)))</f>
        <v/>
      </c>
      <c r="Z546" s="269" t="str">
        <f>IF(((AJ546=0)*(AH546&lt;&gt;"")*(AK546="-"))+((AJ546&lt;&gt;0)*(AH546&lt;&gt;"")*(AK546="-")),IF(AG546="X",Übersicht!$C$70,Übersicht!$C$69),"-")</f>
        <v>-</v>
      </c>
      <c r="AA546" s="252" t="str">
        <f>IF((($A546="")*($B546=""))+((MID($Y546,1,4)&lt;&gt;"Wahl")*(Deckblatt!$C$14='WK-Vorlagen'!$C$82))+(Deckblatt!$C$14&lt;&gt;'WK-Vorlagen'!$C$82),"",IF(ISERROR(MATCH(VALUE(MID(G546,1,2)),Schwierigkeitsstufen!$G$7:$G$19,0)),"Gerät falsch",LOOKUP(VALUE(MID(G546,1,2)),Schwierigkeitsstufen!$G$7:$G$19,Schwierigkeitsstufen!$H$7:$H$19)))</f>
        <v/>
      </c>
      <c r="AB546" s="250" t="str">
        <f>IF((($A546="")*($B546=""))+((MID($Y546,1,4)&lt;&gt;"Wahl")*(Deckblatt!$C$14='WK-Vorlagen'!$C$82))+(Deckblatt!$C$14&lt;&gt;'WK-Vorlagen'!$C$82),"",IF(ISERROR(MATCH(VALUE(MID(H546,1,2)),Schwierigkeitsstufen!$G$7:$G$19,0)),"Gerät falsch",LOOKUP(VALUE(MID(H546,1,2)),Schwierigkeitsstufen!$G$7:$G$19,Schwierigkeitsstufen!$H$7:$H$19)))</f>
        <v/>
      </c>
      <c r="AC546" s="250" t="str">
        <f>IF((($A546="")*($B546=""))+((MID($Y546,1,4)&lt;&gt;"Wahl")*(Deckblatt!$C$14='WK-Vorlagen'!$C$82))+(Deckblatt!$C$14&lt;&gt;'WK-Vorlagen'!$C$82),"",IF(ISERROR(MATCH(VALUE(MID(I546,1,2)),Schwierigkeitsstufen!$G$7:$G$19,0)),"Gerät falsch",LOOKUP(VALUE(MID(I546,1,2)),Schwierigkeitsstufen!$G$7:$G$19,Schwierigkeitsstufen!$H$7:$H$19)))</f>
        <v/>
      </c>
      <c r="AD546" s="251" t="str">
        <f>IF((($A546="")*($B546=""))+((MID($Y546,1,4)&lt;&gt;"Wahl")*(Deckblatt!$C$14='WK-Vorlagen'!$C$82))+(Deckblatt!$C$14&lt;&gt;'WK-Vorlagen'!$C$82),"",IF(ISERROR(MATCH(VALUE(MID(J546,1,2)),Schwierigkeitsstufen!$G$7:$G$19,0)),"Gerät falsch",LOOKUP(VALUE(MID(J546,1,2)),Schwierigkeitsstufen!$G$7:$G$19,Schwierigkeitsstufen!$H$7:$H$19)))</f>
        <v/>
      </c>
      <c r="AE546" s="211"/>
      <c r="AG546" s="221" t="str">
        <f t="shared" si="72"/>
        <v/>
      </c>
      <c r="AH546" s="222" t="str">
        <f t="shared" si="74"/>
        <v/>
      </c>
      <c r="AI546" s="220">
        <f t="shared" si="79"/>
        <v>4</v>
      </c>
      <c r="AJ546" s="222">
        <f t="shared" si="75"/>
        <v>0</v>
      </c>
      <c r="AK546" s="299" t="str">
        <f>IF(ISERROR(LOOKUP(E546,WKNrListe,Übersicht!$R$7:$R$46)),"-",LOOKUP(E546,WKNrListe,Übersicht!$R$7:$R$46))</f>
        <v>-</v>
      </c>
      <c r="AL546" s="299" t="str">
        <f t="shared" si="78"/>
        <v>-</v>
      </c>
      <c r="AM546" s="303"/>
      <c r="AN546" s="174" t="str">
        <f t="shared" si="71"/>
        <v>Leer</v>
      </c>
    </row>
    <row r="547" spans="1:40" s="174" customFormat="1" ht="15" customHeight="1">
      <c r="A547" s="63"/>
      <c r="B547" s="63"/>
      <c r="C547" s="84"/>
      <c r="D547" s="85"/>
      <c r="E547" s="62"/>
      <c r="F547" s="62"/>
      <c r="G547" s="62"/>
      <c r="H547" s="62"/>
      <c r="I547" s="62"/>
      <c r="J547" s="62"/>
      <c r="K547" s="62"/>
      <c r="L547" s="62"/>
      <c r="M547" s="62"/>
      <c r="N547" s="62"/>
      <c r="O547" s="62"/>
      <c r="P547" s="62"/>
      <c r="Q547" s="62"/>
      <c r="R547" s="62"/>
      <c r="S547" s="258"/>
      <c r="T547" s="248" t="str">
        <f t="shared" si="76"/>
        <v/>
      </c>
      <c r="U547" s="249" t="str">
        <f t="shared" si="77"/>
        <v/>
      </c>
      <c r="V547" s="294" t="str">
        <f t="shared" si="73"/>
        <v/>
      </c>
      <c r="W547" s="294" t="str">
        <f>IF(((E547="")+(F547="")),"",IF(VLOOKUP(F547,Mannschaften!$A$1:$B$54,2,FALSE)&lt;&gt;E547,"Reiter Mannschaften füllen",""))</f>
        <v/>
      </c>
      <c r="X547" s="248" t="str">
        <f>IF(ISBLANK(C547),"",IF((U547&gt;(LOOKUP(E547,WKNrListe,Übersicht!$O$7:$O$46)))+(U547&lt;(LOOKUP(E547,WKNrListe,Übersicht!$P$7:$P$46))),"JG falsch",""))</f>
        <v/>
      </c>
      <c r="Y547" s="255" t="str">
        <f>IF((A547="")*(B547=""),"",IF(ISERROR(MATCH(E547,WKNrListe,0)),"WK falsch",LOOKUP(E547,WKNrListe,Übersicht!$B$7:$B$46)))</f>
        <v/>
      </c>
      <c r="Z547" s="269" t="str">
        <f>IF(((AJ547=0)*(AH547&lt;&gt;"")*(AK547="-"))+((AJ547&lt;&gt;0)*(AH547&lt;&gt;"")*(AK547="-")),IF(AG547="X",Übersicht!$C$70,Übersicht!$C$69),"-")</f>
        <v>-</v>
      </c>
      <c r="AA547" s="252" t="str">
        <f>IF((($A547="")*($B547=""))+((MID($Y547,1,4)&lt;&gt;"Wahl")*(Deckblatt!$C$14='WK-Vorlagen'!$C$82))+(Deckblatt!$C$14&lt;&gt;'WK-Vorlagen'!$C$82),"",IF(ISERROR(MATCH(VALUE(MID(G547,1,2)),Schwierigkeitsstufen!$G$7:$G$19,0)),"Gerät falsch",LOOKUP(VALUE(MID(G547,1,2)),Schwierigkeitsstufen!$G$7:$G$19,Schwierigkeitsstufen!$H$7:$H$19)))</f>
        <v/>
      </c>
      <c r="AB547" s="250" t="str">
        <f>IF((($A547="")*($B547=""))+((MID($Y547,1,4)&lt;&gt;"Wahl")*(Deckblatt!$C$14='WK-Vorlagen'!$C$82))+(Deckblatt!$C$14&lt;&gt;'WK-Vorlagen'!$C$82),"",IF(ISERROR(MATCH(VALUE(MID(H547,1,2)),Schwierigkeitsstufen!$G$7:$G$19,0)),"Gerät falsch",LOOKUP(VALUE(MID(H547,1,2)),Schwierigkeitsstufen!$G$7:$G$19,Schwierigkeitsstufen!$H$7:$H$19)))</f>
        <v/>
      </c>
      <c r="AC547" s="250" t="str">
        <f>IF((($A547="")*($B547=""))+((MID($Y547,1,4)&lt;&gt;"Wahl")*(Deckblatt!$C$14='WK-Vorlagen'!$C$82))+(Deckblatt!$C$14&lt;&gt;'WK-Vorlagen'!$C$82),"",IF(ISERROR(MATCH(VALUE(MID(I547,1,2)),Schwierigkeitsstufen!$G$7:$G$19,0)),"Gerät falsch",LOOKUP(VALUE(MID(I547,1,2)),Schwierigkeitsstufen!$G$7:$G$19,Schwierigkeitsstufen!$H$7:$H$19)))</f>
        <v/>
      </c>
      <c r="AD547" s="251" t="str">
        <f>IF((($A547="")*($B547=""))+((MID($Y547,1,4)&lt;&gt;"Wahl")*(Deckblatt!$C$14='WK-Vorlagen'!$C$82))+(Deckblatt!$C$14&lt;&gt;'WK-Vorlagen'!$C$82),"",IF(ISERROR(MATCH(VALUE(MID(J547,1,2)),Schwierigkeitsstufen!$G$7:$G$19,0)),"Gerät falsch",LOOKUP(VALUE(MID(J547,1,2)),Schwierigkeitsstufen!$G$7:$G$19,Schwierigkeitsstufen!$H$7:$H$19)))</f>
        <v/>
      </c>
      <c r="AE547" s="211"/>
      <c r="AG547" s="221" t="str">
        <f t="shared" si="72"/>
        <v/>
      </c>
      <c r="AH547" s="222" t="str">
        <f t="shared" si="74"/>
        <v/>
      </c>
      <c r="AI547" s="220">
        <f t="shared" si="79"/>
        <v>4</v>
      </c>
      <c r="AJ547" s="222">
        <f t="shared" si="75"/>
        <v>0</v>
      </c>
      <c r="AK547" s="299" t="str">
        <f>IF(ISERROR(LOOKUP(E547,WKNrListe,Übersicht!$R$7:$R$46)),"-",LOOKUP(E547,WKNrListe,Übersicht!$R$7:$R$46))</f>
        <v>-</v>
      </c>
      <c r="AL547" s="299" t="str">
        <f t="shared" si="78"/>
        <v>-</v>
      </c>
      <c r="AM547" s="303"/>
      <c r="AN547" s="174" t="str">
        <f t="shared" si="71"/>
        <v>Leer</v>
      </c>
    </row>
    <row r="548" spans="1:40" s="174" customFormat="1" ht="15" customHeight="1">
      <c r="A548" s="63"/>
      <c r="B548" s="63"/>
      <c r="C548" s="84"/>
      <c r="D548" s="85"/>
      <c r="E548" s="62"/>
      <c r="F548" s="62"/>
      <c r="G548" s="62"/>
      <c r="H548" s="62"/>
      <c r="I548" s="62"/>
      <c r="J548" s="62"/>
      <c r="K548" s="62"/>
      <c r="L548" s="62"/>
      <c r="M548" s="62"/>
      <c r="N548" s="62"/>
      <c r="O548" s="62"/>
      <c r="P548" s="62"/>
      <c r="Q548" s="62"/>
      <c r="R548" s="62"/>
      <c r="S548" s="258"/>
      <c r="T548" s="248" t="str">
        <f t="shared" si="76"/>
        <v/>
      </c>
      <c r="U548" s="249" t="str">
        <f t="shared" si="77"/>
        <v/>
      </c>
      <c r="V548" s="294" t="str">
        <f t="shared" si="73"/>
        <v/>
      </c>
      <c r="W548" s="294" t="str">
        <f>IF(((E548="")+(F548="")),"",IF(VLOOKUP(F548,Mannschaften!$A$1:$B$54,2,FALSE)&lt;&gt;E548,"Reiter Mannschaften füllen",""))</f>
        <v/>
      </c>
      <c r="X548" s="248" t="str">
        <f>IF(ISBLANK(C548),"",IF((U548&gt;(LOOKUP(E548,WKNrListe,Übersicht!$O$7:$O$46)))+(U548&lt;(LOOKUP(E548,WKNrListe,Übersicht!$P$7:$P$46))),"JG falsch",""))</f>
        <v/>
      </c>
      <c r="Y548" s="255" t="str">
        <f>IF((A548="")*(B548=""),"",IF(ISERROR(MATCH(E548,WKNrListe,0)),"WK falsch",LOOKUP(E548,WKNrListe,Übersicht!$B$7:$B$46)))</f>
        <v/>
      </c>
      <c r="Z548" s="269" t="str">
        <f>IF(((AJ548=0)*(AH548&lt;&gt;"")*(AK548="-"))+((AJ548&lt;&gt;0)*(AH548&lt;&gt;"")*(AK548="-")),IF(AG548="X",Übersicht!$C$70,Übersicht!$C$69),"-")</f>
        <v>-</v>
      </c>
      <c r="AA548" s="252" t="str">
        <f>IF((($A548="")*($B548=""))+((MID($Y548,1,4)&lt;&gt;"Wahl")*(Deckblatt!$C$14='WK-Vorlagen'!$C$82))+(Deckblatt!$C$14&lt;&gt;'WK-Vorlagen'!$C$82),"",IF(ISERROR(MATCH(VALUE(MID(G548,1,2)),Schwierigkeitsstufen!$G$7:$G$19,0)),"Gerät falsch",LOOKUP(VALUE(MID(G548,1,2)),Schwierigkeitsstufen!$G$7:$G$19,Schwierigkeitsstufen!$H$7:$H$19)))</f>
        <v/>
      </c>
      <c r="AB548" s="250" t="str">
        <f>IF((($A548="")*($B548=""))+((MID($Y548,1,4)&lt;&gt;"Wahl")*(Deckblatt!$C$14='WK-Vorlagen'!$C$82))+(Deckblatt!$C$14&lt;&gt;'WK-Vorlagen'!$C$82),"",IF(ISERROR(MATCH(VALUE(MID(H548,1,2)),Schwierigkeitsstufen!$G$7:$G$19,0)),"Gerät falsch",LOOKUP(VALUE(MID(H548,1,2)),Schwierigkeitsstufen!$G$7:$G$19,Schwierigkeitsstufen!$H$7:$H$19)))</f>
        <v/>
      </c>
      <c r="AC548" s="250" t="str">
        <f>IF((($A548="")*($B548=""))+((MID($Y548,1,4)&lt;&gt;"Wahl")*(Deckblatt!$C$14='WK-Vorlagen'!$C$82))+(Deckblatt!$C$14&lt;&gt;'WK-Vorlagen'!$C$82),"",IF(ISERROR(MATCH(VALUE(MID(I548,1,2)),Schwierigkeitsstufen!$G$7:$G$19,0)),"Gerät falsch",LOOKUP(VALUE(MID(I548,1,2)),Schwierigkeitsstufen!$G$7:$G$19,Schwierigkeitsstufen!$H$7:$H$19)))</f>
        <v/>
      </c>
      <c r="AD548" s="251" t="str">
        <f>IF((($A548="")*($B548=""))+((MID($Y548,1,4)&lt;&gt;"Wahl")*(Deckblatt!$C$14='WK-Vorlagen'!$C$82))+(Deckblatt!$C$14&lt;&gt;'WK-Vorlagen'!$C$82),"",IF(ISERROR(MATCH(VALUE(MID(J548,1,2)),Schwierigkeitsstufen!$G$7:$G$19,0)),"Gerät falsch",LOOKUP(VALUE(MID(J548,1,2)),Schwierigkeitsstufen!$G$7:$G$19,Schwierigkeitsstufen!$H$7:$H$19)))</f>
        <v/>
      </c>
      <c r="AE548" s="211"/>
      <c r="AG548" s="221" t="str">
        <f t="shared" si="72"/>
        <v/>
      </c>
      <c r="AH548" s="222" t="str">
        <f t="shared" si="74"/>
        <v/>
      </c>
      <c r="AI548" s="220">
        <f t="shared" si="79"/>
        <v>4</v>
      </c>
      <c r="AJ548" s="222">
        <f t="shared" si="75"/>
        <v>0</v>
      </c>
      <c r="AK548" s="299" t="str">
        <f>IF(ISERROR(LOOKUP(E548,WKNrListe,Übersicht!$R$7:$R$46)),"-",LOOKUP(E548,WKNrListe,Übersicht!$R$7:$R$46))</f>
        <v>-</v>
      </c>
      <c r="AL548" s="299" t="str">
        <f t="shared" si="78"/>
        <v>-</v>
      </c>
      <c r="AM548" s="303"/>
      <c r="AN548" s="174" t="str">
        <f t="shared" si="71"/>
        <v>Leer</v>
      </c>
    </row>
    <row r="549" spans="1:40" s="174" customFormat="1" ht="15" customHeight="1">
      <c r="A549" s="63"/>
      <c r="B549" s="63"/>
      <c r="C549" s="84"/>
      <c r="D549" s="85"/>
      <c r="E549" s="62"/>
      <c r="F549" s="62"/>
      <c r="G549" s="62"/>
      <c r="H549" s="62"/>
      <c r="I549" s="62"/>
      <c r="J549" s="62"/>
      <c r="K549" s="62"/>
      <c r="L549" s="62"/>
      <c r="M549" s="62"/>
      <c r="N549" s="62"/>
      <c r="O549" s="62"/>
      <c r="P549" s="62"/>
      <c r="Q549" s="62"/>
      <c r="R549" s="62"/>
      <c r="S549" s="258"/>
      <c r="T549" s="248" t="str">
        <f t="shared" si="76"/>
        <v/>
      </c>
      <c r="U549" s="249" t="str">
        <f t="shared" si="77"/>
        <v/>
      </c>
      <c r="V549" s="294" t="str">
        <f t="shared" si="73"/>
        <v/>
      </c>
      <c r="W549" s="294" t="str">
        <f>IF(((E549="")+(F549="")),"",IF(VLOOKUP(F549,Mannschaften!$A$1:$B$54,2,FALSE)&lt;&gt;E549,"Reiter Mannschaften füllen",""))</f>
        <v/>
      </c>
      <c r="X549" s="248" t="str">
        <f>IF(ISBLANK(C549),"",IF((U549&gt;(LOOKUP(E549,WKNrListe,Übersicht!$O$7:$O$46)))+(U549&lt;(LOOKUP(E549,WKNrListe,Übersicht!$P$7:$P$46))),"JG falsch",""))</f>
        <v/>
      </c>
      <c r="Y549" s="255" t="str">
        <f>IF((A549="")*(B549=""),"",IF(ISERROR(MATCH(E549,WKNrListe,0)),"WK falsch",LOOKUP(E549,WKNrListe,Übersicht!$B$7:$B$46)))</f>
        <v/>
      </c>
      <c r="Z549" s="269" t="str">
        <f>IF(((AJ549=0)*(AH549&lt;&gt;"")*(AK549="-"))+((AJ549&lt;&gt;0)*(AH549&lt;&gt;"")*(AK549="-")),IF(AG549="X",Übersicht!$C$70,Übersicht!$C$69),"-")</f>
        <v>-</v>
      </c>
      <c r="AA549" s="252" t="str">
        <f>IF((($A549="")*($B549=""))+((MID($Y549,1,4)&lt;&gt;"Wahl")*(Deckblatt!$C$14='WK-Vorlagen'!$C$82))+(Deckblatt!$C$14&lt;&gt;'WK-Vorlagen'!$C$82),"",IF(ISERROR(MATCH(VALUE(MID(G549,1,2)),Schwierigkeitsstufen!$G$7:$G$19,0)),"Gerät falsch",LOOKUP(VALUE(MID(G549,1,2)),Schwierigkeitsstufen!$G$7:$G$19,Schwierigkeitsstufen!$H$7:$H$19)))</f>
        <v/>
      </c>
      <c r="AB549" s="250" t="str">
        <f>IF((($A549="")*($B549=""))+((MID($Y549,1,4)&lt;&gt;"Wahl")*(Deckblatt!$C$14='WK-Vorlagen'!$C$82))+(Deckblatt!$C$14&lt;&gt;'WK-Vorlagen'!$C$82),"",IF(ISERROR(MATCH(VALUE(MID(H549,1,2)),Schwierigkeitsstufen!$G$7:$G$19,0)),"Gerät falsch",LOOKUP(VALUE(MID(H549,1,2)),Schwierigkeitsstufen!$G$7:$G$19,Schwierigkeitsstufen!$H$7:$H$19)))</f>
        <v/>
      </c>
      <c r="AC549" s="250" t="str">
        <f>IF((($A549="")*($B549=""))+((MID($Y549,1,4)&lt;&gt;"Wahl")*(Deckblatt!$C$14='WK-Vorlagen'!$C$82))+(Deckblatt!$C$14&lt;&gt;'WK-Vorlagen'!$C$82),"",IF(ISERROR(MATCH(VALUE(MID(I549,1,2)),Schwierigkeitsstufen!$G$7:$G$19,0)),"Gerät falsch",LOOKUP(VALUE(MID(I549,1,2)),Schwierigkeitsstufen!$G$7:$G$19,Schwierigkeitsstufen!$H$7:$H$19)))</f>
        <v/>
      </c>
      <c r="AD549" s="251" t="str">
        <f>IF((($A549="")*($B549=""))+((MID($Y549,1,4)&lt;&gt;"Wahl")*(Deckblatt!$C$14='WK-Vorlagen'!$C$82))+(Deckblatt!$C$14&lt;&gt;'WK-Vorlagen'!$C$82),"",IF(ISERROR(MATCH(VALUE(MID(J549,1,2)),Schwierigkeitsstufen!$G$7:$G$19,0)),"Gerät falsch",LOOKUP(VALUE(MID(J549,1,2)),Schwierigkeitsstufen!$G$7:$G$19,Schwierigkeitsstufen!$H$7:$H$19)))</f>
        <v/>
      </c>
      <c r="AE549" s="211"/>
      <c r="AG549" s="221" t="str">
        <f t="shared" si="72"/>
        <v/>
      </c>
      <c r="AH549" s="222" t="str">
        <f t="shared" si="74"/>
        <v/>
      </c>
      <c r="AI549" s="220">
        <f t="shared" si="79"/>
        <v>4</v>
      </c>
      <c r="AJ549" s="222">
        <f t="shared" si="75"/>
        <v>0</v>
      </c>
      <c r="AK549" s="299" t="str">
        <f>IF(ISERROR(LOOKUP(E549,WKNrListe,Übersicht!$R$7:$R$46)),"-",LOOKUP(E549,WKNrListe,Übersicht!$R$7:$R$46))</f>
        <v>-</v>
      </c>
      <c r="AL549" s="299" t="str">
        <f t="shared" si="78"/>
        <v>-</v>
      </c>
      <c r="AM549" s="303"/>
      <c r="AN549" s="174" t="str">
        <f t="shared" si="71"/>
        <v>Leer</v>
      </c>
    </row>
    <row r="550" spans="1:40" s="174" customFormat="1" ht="15" customHeight="1">
      <c r="A550" s="63"/>
      <c r="B550" s="63"/>
      <c r="C550" s="84"/>
      <c r="D550" s="85"/>
      <c r="E550" s="62"/>
      <c r="F550" s="62"/>
      <c r="G550" s="62"/>
      <c r="H550" s="62"/>
      <c r="I550" s="62"/>
      <c r="J550" s="62"/>
      <c r="K550" s="62"/>
      <c r="L550" s="62"/>
      <c r="M550" s="62"/>
      <c r="N550" s="62"/>
      <c r="O550" s="62"/>
      <c r="P550" s="62"/>
      <c r="Q550" s="62"/>
      <c r="R550" s="62"/>
      <c r="S550" s="258"/>
      <c r="T550" s="248" t="str">
        <f t="shared" si="76"/>
        <v/>
      </c>
      <c r="U550" s="249" t="str">
        <f t="shared" si="77"/>
        <v/>
      </c>
      <c r="V550" s="294" t="str">
        <f t="shared" si="73"/>
        <v/>
      </c>
      <c r="W550" s="294" t="str">
        <f>IF(((E550="")+(F550="")),"",IF(VLOOKUP(F550,Mannschaften!$A$1:$B$54,2,FALSE)&lt;&gt;E550,"Reiter Mannschaften füllen",""))</f>
        <v/>
      </c>
      <c r="X550" s="248" t="str">
        <f>IF(ISBLANK(C550),"",IF((U550&gt;(LOOKUP(E550,WKNrListe,Übersicht!$O$7:$O$46)))+(U550&lt;(LOOKUP(E550,WKNrListe,Übersicht!$P$7:$P$46))),"JG falsch",""))</f>
        <v/>
      </c>
      <c r="Y550" s="255" t="str">
        <f>IF((A550="")*(B550=""),"",IF(ISERROR(MATCH(E550,WKNrListe,0)),"WK falsch",LOOKUP(E550,WKNrListe,Übersicht!$B$7:$B$46)))</f>
        <v/>
      </c>
      <c r="Z550" s="269" t="str">
        <f>IF(((AJ550=0)*(AH550&lt;&gt;"")*(AK550="-"))+((AJ550&lt;&gt;0)*(AH550&lt;&gt;"")*(AK550="-")),IF(AG550="X",Übersicht!$C$70,Übersicht!$C$69),"-")</f>
        <v>-</v>
      </c>
      <c r="AA550" s="252" t="str">
        <f>IF((($A550="")*($B550=""))+((MID($Y550,1,4)&lt;&gt;"Wahl")*(Deckblatt!$C$14='WK-Vorlagen'!$C$82))+(Deckblatt!$C$14&lt;&gt;'WK-Vorlagen'!$C$82),"",IF(ISERROR(MATCH(VALUE(MID(G550,1,2)),Schwierigkeitsstufen!$G$7:$G$19,0)),"Gerät falsch",LOOKUP(VALUE(MID(G550,1,2)),Schwierigkeitsstufen!$G$7:$G$19,Schwierigkeitsstufen!$H$7:$H$19)))</f>
        <v/>
      </c>
      <c r="AB550" s="250" t="str">
        <f>IF((($A550="")*($B550=""))+((MID($Y550,1,4)&lt;&gt;"Wahl")*(Deckblatt!$C$14='WK-Vorlagen'!$C$82))+(Deckblatt!$C$14&lt;&gt;'WK-Vorlagen'!$C$82),"",IF(ISERROR(MATCH(VALUE(MID(H550,1,2)),Schwierigkeitsstufen!$G$7:$G$19,0)),"Gerät falsch",LOOKUP(VALUE(MID(H550,1,2)),Schwierigkeitsstufen!$G$7:$G$19,Schwierigkeitsstufen!$H$7:$H$19)))</f>
        <v/>
      </c>
      <c r="AC550" s="250" t="str">
        <f>IF((($A550="")*($B550=""))+((MID($Y550,1,4)&lt;&gt;"Wahl")*(Deckblatt!$C$14='WK-Vorlagen'!$C$82))+(Deckblatt!$C$14&lt;&gt;'WK-Vorlagen'!$C$82),"",IF(ISERROR(MATCH(VALUE(MID(I550,1,2)),Schwierigkeitsstufen!$G$7:$G$19,0)),"Gerät falsch",LOOKUP(VALUE(MID(I550,1,2)),Schwierigkeitsstufen!$G$7:$G$19,Schwierigkeitsstufen!$H$7:$H$19)))</f>
        <v/>
      </c>
      <c r="AD550" s="251" t="str">
        <f>IF((($A550="")*($B550=""))+((MID($Y550,1,4)&lt;&gt;"Wahl")*(Deckblatt!$C$14='WK-Vorlagen'!$C$82))+(Deckblatt!$C$14&lt;&gt;'WK-Vorlagen'!$C$82),"",IF(ISERROR(MATCH(VALUE(MID(J550,1,2)),Schwierigkeitsstufen!$G$7:$G$19,0)),"Gerät falsch",LOOKUP(VALUE(MID(J550,1,2)),Schwierigkeitsstufen!$G$7:$G$19,Schwierigkeitsstufen!$H$7:$H$19)))</f>
        <v/>
      </c>
      <c r="AE550" s="211"/>
      <c r="AG550" s="221" t="str">
        <f t="shared" si="72"/>
        <v/>
      </c>
      <c r="AH550" s="222" t="str">
        <f t="shared" si="74"/>
        <v/>
      </c>
      <c r="AI550" s="220">
        <f t="shared" si="79"/>
        <v>4</v>
      </c>
      <c r="AJ550" s="222">
        <f t="shared" si="75"/>
        <v>0</v>
      </c>
      <c r="AK550" s="299" t="str">
        <f>IF(ISERROR(LOOKUP(E550,WKNrListe,Übersicht!$R$7:$R$46)),"-",LOOKUP(E550,WKNrListe,Übersicht!$R$7:$R$46))</f>
        <v>-</v>
      </c>
      <c r="AL550" s="299" t="str">
        <f t="shared" si="78"/>
        <v>-</v>
      </c>
      <c r="AM550" s="303"/>
      <c r="AN550" s="174" t="str">
        <f t="shared" si="71"/>
        <v>Leer</v>
      </c>
    </row>
    <row r="551" spans="1:40" s="174" customFormat="1" ht="15" customHeight="1">
      <c r="A551" s="63"/>
      <c r="B551" s="63"/>
      <c r="C551" s="84"/>
      <c r="D551" s="85"/>
      <c r="E551" s="62"/>
      <c r="F551" s="62"/>
      <c r="G551" s="62"/>
      <c r="H551" s="62"/>
      <c r="I551" s="62"/>
      <c r="J551" s="62"/>
      <c r="K551" s="62"/>
      <c r="L551" s="62"/>
      <c r="M551" s="62"/>
      <c r="N551" s="62"/>
      <c r="O551" s="62"/>
      <c r="P551" s="62"/>
      <c r="Q551" s="62"/>
      <c r="R551" s="62"/>
      <c r="S551" s="258"/>
      <c r="T551" s="248" t="str">
        <f t="shared" si="76"/>
        <v/>
      </c>
      <c r="U551" s="249" t="str">
        <f t="shared" si="77"/>
        <v/>
      </c>
      <c r="V551" s="294" t="str">
        <f t="shared" si="73"/>
        <v/>
      </c>
      <c r="W551" s="294" t="str">
        <f>IF(((E551="")+(F551="")),"",IF(VLOOKUP(F551,Mannschaften!$A$1:$B$54,2,FALSE)&lt;&gt;E551,"Reiter Mannschaften füllen",""))</f>
        <v/>
      </c>
      <c r="X551" s="248" t="str">
        <f>IF(ISBLANK(C551),"",IF((U551&gt;(LOOKUP(E551,WKNrListe,Übersicht!$O$7:$O$46)))+(U551&lt;(LOOKUP(E551,WKNrListe,Übersicht!$P$7:$P$46))),"JG falsch",""))</f>
        <v/>
      </c>
      <c r="Y551" s="255" t="str">
        <f>IF((A551="")*(B551=""),"",IF(ISERROR(MATCH(E551,WKNrListe,0)),"WK falsch",LOOKUP(E551,WKNrListe,Übersicht!$B$7:$B$46)))</f>
        <v/>
      </c>
      <c r="Z551" s="269" t="str">
        <f>IF(((AJ551=0)*(AH551&lt;&gt;"")*(AK551="-"))+((AJ551&lt;&gt;0)*(AH551&lt;&gt;"")*(AK551="-")),IF(AG551="X",Übersicht!$C$70,Übersicht!$C$69),"-")</f>
        <v>-</v>
      </c>
      <c r="AA551" s="252" t="str">
        <f>IF((($A551="")*($B551=""))+((MID($Y551,1,4)&lt;&gt;"Wahl")*(Deckblatt!$C$14='WK-Vorlagen'!$C$82))+(Deckblatt!$C$14&lt;&gt;'WK-Vorlagen'!$C$82),"",IF(ISERROR(MATCH(VALUE(MID(G551,1,2)),Schwierigkeitsstufen!$G$7:$G$19,0)),"Gerät falsch",LOOKUP(VALUE(MID(G551,1,2)),Schwierigkeitsstufen!$G$7:$G$19,Schwierigkeitsstufen!$H$7:$H$19)))</f>
        <v/>
      </c>
      <c r="AB551" s="250" t="str">
        <f>IF((($A551="")*($B551=""))+((MID($Y551,1,4)&lt;&gt;"Wahl")*(Deckblatt!$C$14='WK-Vorlagen'!$C$82))+(Deckblatt!$C$14&lt;&gt;'WK-Vorlagen'!$C$82),"",IF(ISERROR(MATCH(VALUE(MID(H551,1,2)),Schwierigkeitsstufen!$G$7:$G$19,0)),"Gerät falsch",LOOKUP(VALUE(MID(H551,1,2)),Schwierigkeitsstufen!$G$7:$G$19,Schwierigkeitsstufen!$H$7:$H$19)))</f>
        <v/>
      </c>
      <c r="AC551" s="250" t="str">
        <f>IF((($A551="")*($B551=""))+((MID($Y551,1,4)&lt;&gt;"Wahl")*(Deckblatt!$C$14='WK-Vorlagen'!$C$82))+(Deckblatt!$C$14&lt;&gt;'WK-Vorlagen'!$C$82),"",IF(ISERROR(MATCH(VALUE(MID(I551,1,2)),Schwierigkeitsstufen!$G$7:$G$19,0)),"Gerät falsch",LOOKUP(VALUE(MID(I551,1,2)),Schwierigkeitsstufen!$G$7:$G$19,Schwierigkeitsstufen!$H$7:$H$19)))</f>
        <v/>
      </c>
      <c r="AD551" s="251" t="str">
        <f>IF((($A551="")*($B551=""))+((MID($Y551,1,4)&lt;&gt;"Wahl")*(Deckblatt!$C$14='WK-Vorlagen'!$C$82))+(Deckblatt!$C$14&lt;&gt;'WK-Vorlagen'!$C$82),"",IF(ISERROR(MATCH(VALUE(MID(J551,1,2)),Schwierigkeitsstufen!$G$7:$G$19,0)),"Gerät falsch",LOOKUP(VALUE(MID(J551,1,2)),Schwierigkeitsstufen!$G$7:$G$19,Schwierigkeitsstufen!$H$7:$H$19)))</f>
        <v/>
      </c>
      <c r="AE551" s="211"/>
      <c r="AG551" s="221" t="str">
        <f t="shared" si="72"/>
        <v/>
      </c>
      <c r="AH551" s="222" t="str">
        <f t="shared" si="74"/>
        <v/>
      </c>
      <c r="AI551" s="220">
        <f t="shared" si="79"/>
        <v>4</v>
      </c>
      <c r="AJ551" s="222">
        <f t="shared" si="75"/>
        <v>0</v>
      </c>
      <c r="AK551" s="299" t="str">
        <f>IF(ISERROR(LOOKUP(E551,WKNrListe,Übersicht!$R$7:$R$46)),"-",LOOKUP(E551,WKNrListe,Übersicht!$R$7:$R$46))</f>
        <v>-</v>
      </c>
      <c r="AL551" s="299" t="str">
        <f t="shared" si="78"/>
        <v>-</v>
      </c>
      <c r="AM551" s="303"/>
      <c r="AN551" s="174" t="str">
        <f t="shared" si="71"/>
        <v>Leer</v>
      </c>
    </row>
    <row r="552" spans="1:40" s="174" customFormat="1" ht="15" customHeight="1">
      <c r="A552" s="63"/>
      <c r="B552" s="63"/>
      <c r="C552" s="84"/>
      <c r="D552" s="85"/>
      <c r="E552" s="62"/>
      <c r="F552" s="62"/>
      <c r="G552" s="62"/>
      <c r="H552" s="62"/>
      <c r="I552" s="62"/>
      <c r="J552" s="62"/>
      <c r="K552" s="62"/>
      <c r="L552" s="62"/>
      <c r="M552" s="62"/>
      <c r="N552" s="62"/>
      <c r="O552" s="62"/>
      <c r="P552" s="62"/>
      <c r="Q552" s="62"/>
      <c r="R552" s="62"/>
      <c r="S552" s="258"/>
      <c r="T552" s="248" t="str">
        <f t="shared" si="76"/>
        <v/>
      </c>
      <c r="U552" s="249" t="str">
        <f t="shared" si="77"/>
        <v/>
      </c>
      <c r="V552" s="294" t="str">
        <f t="shared" si="73"/>
        <v/>
      </c>
      <c r="W552" s="294" t="str">
        <f>IF(((E552="")+(F552="")),"",IF(VLOOKUP(F552,Mannschaften!$A$1:$B$54,2,FALSE)&lt;&gt;E552,"Reiter Mannschaften füllen",""))</f>
        <v/>
      </c>
      <c r="X552" s="248" t="str">
        <f>IF(ISBLANK(C552),"",IF((U552&gt;(LOOKUP(E552,WKNrListe,Übersicht!$O$7:$O$46)))+(U552&lt;(LOOKUP(E552,WKNrListe,Übersicht!$P$7:$P$46))),"JG falsch",""))</f>
        <v/>
      </c>
      <c r="Y552" s="255" t="str">
        <f>IF((A552="")*(B552=""),"",IF(ISERROR(MATCH(E552,WKNrListe,0)),"WK falsch",LOOKUP(E552,WKNrListe,Übersicht!$B$7:$B$46)))</f>
        <v/>
      </c>
      <c r="Z552" s="269" t="str">
        <f>IF(((AJ552=0)*(AH552&lt;&gt;"")*(AK552="-"))+((AJ552&lt;&gt;0)*(AH552&lt;&gt;"")*(AK552="-")),IF(AG552="X",Übersicht!$C$70,Übersicht!$C$69),"-")</f>
        <v>-</v>
      </c>
      <c r="AA552" s="252" t="str">
        <f>IF((($A552="")*($B552=""))+((MID($Y552,1,4)&lt;&gt;"Wahl")*(Deckblatt!$C$14='WK-Vorlagen'!$C$82))+(Deckblatt!$C$14&lt;&gt;'WK-Vorlagen'!$C$82),"",IF(ISERROR(MATCH(VALUE(MID(G552,1,2)),Schwierigkeitsstufen!$G$7:$G$19,0)),"Gerät falsch",LOOKUP(VALUE(MID(G552,1,2)),Schwierigkeitsstufen!$G$7:$G$19,Schwierigkeitsstufen!$H$7:$H$19)))</f>
        <v/>
      </c>
      <c r="AB552" s="250" t="str">
        <f>IF((($A552="")*($B552=""))+((MID($Y552,1,4)&lt;&gt;"Wahl")*(Deckblatt!$C$14='WK-Vorlagen'!$C$82))+(Deckblatt!$C$14&lt;&gt;'WK-Vorlagen'!$C$82),"",IF(ISERROR(MATCH(VALUE(MID(H552,1,2)),Schwierigkeitsstufen!$G$7:$G$19,0)),"Gerät falsch",LOOKUP(VALUE(MID(H552,1,2)),Schwierigkeitsstufen!$G$7:$G$19,Schwierigkeitsstufen!$H$7:$H$19)))</f>
        <v/>
      </c>
      <c r="AC552" s="250" t="str">
        <f>IF((($A552="")*($B552=""))+((MID($Y552,1,4)&lt;&gt;"Wahl")*(Deckblatt!$C$14='WK-Vorlagen'!$C$82))+(Deckblatt!$C$14&lt;&gt;'WK-Vorlagen'!$C$82),"",IF(ISERROR(MATCH(VALUE(MID(I552,1,2)),Schwierigkeitsstufen!$G$7:$G$19,0)),"Gerät falsch",LOOKUP(VALUE(MID(I552,1,2)),Schwierigkeitsstufen!$G$7:$G$19,Schwierigkeitsstufen!$H$7:$H$19)))</f>
        <v/>
      </c>
      <c r="AD552" s="251" t="str">
        <f>IF((($A552="")*($B552=""))+((MID($Y552,1,4)&lt;&gt;"Wahl")*(Deckblatt!$C$14='WK-Vorlagen'!$C$82))+(Deckblatt!$C$14&lt;&gt;'WK-Vorlagen'!$C$82),"",IF(ISERROR(MATCH(VALUE(MID(J552,1,2)),Schwierigkeitsstufen!$G$7:$G$19,0)),"Gerät falsch",LOOKUP(VALUE(MID(J552,1,2)),Schwierigkeitsstufen!$G$7:$G$19,Schwierigkeitsstufen!$H$7:$H$19)))</f>
        <v/>
      </c>
      <c r="AE552" s="211"/>
      <c r="AG552" s="221" t="str">
        <f t="shared" si="72"/>
        <v/>
      </c>
      <c r="AH552" s="222" t="str">
        <f t="shared" si="74"/>
        <v/>
      </c>
      <c r="AI552" s="220">
        <f t="shared" si="79"/>
        <v>4</v>
      </c>
      <c r="AJ552" s="222">
        <f t="shared" si="75"/>
        <v>0</v>
      </c>
      <c r="AK552" s="299" t="str">
        <f>IF(ISERROR(LOOKUP(E552,WKNrListe,Übersicht!$R$7:$R$46)),"-",LOOKUP(E552,WKNrListe,Übersicht!$R$7:$R$46))</f>
        <v>-</v>
      </c>
      <c r="AL552" s="299" t="str">
        <f t="shared" si="78"/>
        <v>-</v>
      </c>
      <c r="AM552" s="303"/>
      <c r="AN552" s="174" t="str">
        <f t="shared" si="71"/>
        <v>Leer</v>
      </c>
    </row>
    <row r="553" spans="1:40" s="174" customFormat="1" ht="15" customHeight="1">
      <c r="A553" s="63"/>
      <c r="B553" s="63"/>
      <c r="C553" s="84"/>
      <c r="D553" s="85"/>
      <c r="E553" s="62"/>
      <c r="F553" s="62"/>
      <c r="G553" s="62"/>
      <c r="H553" s="62"/>
      <c r="I553" s="62"/>
      <c r="J553" s="62"/>
      <c r="K553" s="62"/>
      <c r="L553" s="62"/>
      <c r="M553" s="62"/>
      <c r="N553" s="62"/>
      <c r="O553" s="62"/>
      <c r="P553" s="62"/>
      <c r="Q553" s="62"/>
      <c r="R553" s="62"/>
      <c r="S553" s="258"/>
      <c r="T553" s="248" t="str">
        <f t="shared" si="76"/>
        <v/>
      </c>
      <c r="U553" s="249" t="str">
        <f t="shared" si="77"/>
        <v/>
      </c>
      <c r="V553" s="294" t="str">
        <f t="shared" si="73"/>
        <v/>
      </c>
      <c r="W553" s="294" t="str">
        <f>IF(((E553="")+(F553="")),"",IF(VLOOKUP(F553,Mannschaften!$A$1:$B$54,2,FALSE)&lt;&gt;E553,"Reiter Mannschaften füllen",""))</f>
        <v/>
      </c>
      <c r="X553" s="248" t="str">
        <f>IF(ISBLANK(C553),"",IF((U553&gt;(LOOKUP(E553,WKNrListe,Übersicht!$O$7:$O$46)))+(U553&lt;(LOOKUP(E553,WKNrListe,Übersicht!$P$7:$P$46))),"JG falsch",""))</f>
        <v/>
      </c>
      <c r="Y553" s="255" t="str">
        <f>IF((A553="")*(B553=""),"",IF(ISERROR(MATCH(E553,WKNrListe,0)),"WK falsch",LOOKUP(E553,WKNrListe,Übersicht!$B$7:$B$46)))</f>
        <v/>
      </c>
      <c r="Z553" s="269" t="str">
        <f>IF(((AJ553=0)*(AH553&lt;&gt;"")*(AK553="-"))+((AJ553&lt;&gt;0)*(AH553&lt;&gt;"")*(AK553="-")),IF(AG553="X",Übersicht!$C$70,Übersicht!$C$69),"-")</f>
        <v>-</v>
      </c>
      <c r="AA553" s="252" t="str">
        <f>IF((($A553="")*($B553=""))+((MID($Y553,1,4)&lt;&gt;"Wahl")*(Deckblatt!$C$14='WK-Vorlagen'!$C$82))+(Deckblatt!$C$14&lt;&gt;'WK-Vorlagen'!$C$82),"",IF(ISERROR(MATCH(VALUE(MID(G553,1,2)),Schwierigkeitsstufen!$G$7:$G$19,0)),"Gerät falsch",LOOKUP(VALUE(MID(G553,1,2)),Schwierigkeitsstufen!$G$7:$G$19,Schwierigkeitsstufen!$H$7:$H$19)))</f>
        <v/>
      </c>
      <c r="AB553" s="250" t="str">
        <f>IF((($A553="")*($B553=""))+((MID($Y553,1,4)&lt;&gt;"Wahl")*(Deckblatt!$C$14='WK-Vorlagen'!$C$82))+(Deckblatt!$C$14&lt;&gt;'WK-Vorlagen'!$C$82),"",IF(ISERROR(MATCH(VALUE(MID(H553,1,2)),Schwierigkeitsstufen!$G$7:$G$19,0)),"Gerät falsch",LOOKUP(VALUE(MID(H553,1,2)),Schwierigkeitsstufen!$G$7:$G$19,Schwierigkeitsstufen!$H$7:$H$19)))</f>
        <v/>
      </c>
      <c r="AC553" s="250" t="str">
        <f>IF((($A553="")*($B553=""))+((MID($Y553,1,4)&lt;&gt;"Wahl")*(Deckblatt!$C$14='WK-Vorlagen'!$C$82))+(Deckblatt!$C$14&lt;&gt;'WK-Vorlagen'!$C$82),"",IF(ISERROR(MATCH(VALUE(MID(I553,1,2)),Schwierigkeitsstufen!$G$7:$G$19,0)),"Gerät falsch",LOOKUP(VALUE(MID(I553,1,2)),Schwierigkeitsstufen!$G$7:$G$19,Schwierigkeitsstufen!$H$7:$H$19)))</f>
        <v/>
      </c>
      <c r="AD553" s="251" t="str">
        <f>IF((($A553="")*($B553=""))+((MID($Y553,1,4)&lt;&gt;"Wahl")*(Deckblatt!$C$14='WK-Vorlagen'!$C$82))+(Deckblatt!$C$14&lt;&gt;'WK-Vorlagen'!$C$82),"",IF(ISERROR(MATCH(VALUE(MID(J553,1,2)),Schwierigkeitsstufen!$G$7:$G$19,0)),"Gerät falsch",LOOKUP(VALUE(MID(J553,1,2)),Schwierigkeitsstufen!$G$7:$G$19,Schwierigkeitsstufen!$H$7:$H$19)))</f>
        <v/>
      </c>
      <c r="AE553" s="211"/>
      <c r="AG553" s="221" t="str">
        <f t="shared" si="72"/>
        <v/>
      </c>
      <c r="AH553" s="222" t="str">
        <f t="shared" si="74"/>
        <v/>
      </c>
      <c r="AI553" s="220">
        <f t="shared" si="79"/>
        <v>4</v>
      </c>
      <c r="AJ553" s="222">
        <f t="shared" si="75"/>
        <v>0</v>
      </c>
      <c r="AK553" s="299" t="str">
        <f>IF(ISERROR(LOOKUP(E553,WKNrListe,Übersicht!$R$7:$R$46)),"-",LOOKUP(E553,WKNrListe,Übersicht!$R$7:$R$46))</f>
        <v>-</v>
      </c>
      <c r="AL553" s="299" t="str">
        <f t="shared" si="78"/>
        <v>-</v>
      </c>
      <c r="AM553" s="303"/>
      <c r="AN553" s="174" t="str">
        <f t="shared" si="71"/>
        <v>Leer</v>
      </c>
    </row>
    <row r="554" spans="1:40" s="174" customFormat="1" ht="15" customHeight="1">
      <c r="A554" s="63"/>
      <c r="B554" s="63"/>
      <c r="C554" s="84"/>
      <c r="D554" s="85"/>
      <c r="E554" s="62"/>
      <c r="F554" s="62"/>
      <c r="G554" s="62"/>
      <c r="H554" s="62"/>
      <c r="I554" s="62"/>
      <c r="J554" s="62"/>
      <c r="K554" s="62"/>
      <c r="L554" s="62"/>
      <c r="M554" s="62"/>
      <c r="N554" s="62"/>
      <c r="O554" s="62"/>
      <c r="P554" s="62"/>
      <c r="Q554" s="62"/>
      <c r="R554" s="62"/>
      <c r="S554" s="258"/>
      <c r="T554" s="248" t="str">
        <f t="shared" si="76"/>
        <v/>
      </c>
      <c r="U554" s="249" t="str">
        <f t="shared" si="77"/>
        <v/>
      </c>
      <c r="V554" s="294" t="str">
        <f t="shared" si="73"/>
        <v/>
      </c>
      <c r="W554" s="294" t="str">
        <f>IF(((E554="")+(F554="")),"",IF(VLOOKUP(F554,Mannschaften!$A$1:$B$54,2,FALSE)&lt;&gt;E554,"Reiter Mannschaften füllen",""))</f>
        <v/>
      </c>
      <c r="X554" s="248" t="str">
        <f>IF(ISBLANK(C554),"",IF((U554&gt;(LOOKUP(E554,WKNrListe,Übersicht!$O$7:$O$46)))+(U554&lt;(LOOKUP(E554,WKNrListe,Übersicht!$P$7:$P$46))),"JG falsch",""))</f>
        <v/>
      </c>
      <c r="Y554" s="255" t="str">
        <f>IF((A554="")*(B554=""),"",IF(ISERROR(MATCH(E554,WKNrListe,0)),"WK falsch",LOOKUP(E554,WKNrListe,Übersicht!$B$7:$B$46)))</f>
        <v/>
      </c>
      <c r="Z554" s="269" t="str">
        <f>IF(((AJ554=0)*(AH554&lt;&gt;"")*(AK554="-"))+((AJ554&lt;&gt;0)*(AH554&lt;&gt;"")*(AK554="-")),IF(AG554="X",Übersicht!$C$70,Übersicht!$C$69),"-")</f>
        <v>-</v>
      </c>
      <c r="AA554" s="252" t="str">
        <f>IF((($A554="")*($B554=""))+((MID($Y554,1,4)&lt;&gt;"Wahl")*(Deckblatt!$C$14='WK-Vorlagen'!$C$82))+(Deckblatt!$C$14&lt;&gt;'WK-Vorlagen'!$C$82),"",IF(ISERROR(MATCH(VALUE(MID(G554,1,2)),Schwierigkeitsstufen!$G$7:$G$19,0)),"Gerät falsch",LOOKUP(VALUE(MID(G554,1,2)),Schwierigkeitsstufen!$G$7:$G$19,Schwierigkeitsstufen!$H$7:$H$19)))</f>
        <v/>
      </c>
      <c r="AB554" s="250" t="str">
        <f>IF((($A554="")*($B554=""))+((MID($Y554,1,4)&lt;&gt;"Wahl")*(Deckblatt!$C$14='WK-Vorlagen'!$C$82))+(Deckblatt!$C$14&lt;&gt;'WK-Vorlagen'!$C$82),"",IF(ISERROR(MATCH(VALUE(MID(H554,1,2)),Schwierigkeitsstufen!$G$7:$G$19,0)),"Gerät falsch",LOOKUP(VALUE(MID(H554,1,2)),Schwierigkeitsstufen!$G$7:$G$19,Schwierigkeitsstufen!$H$7:$H$19)))</f>
        <v/>
      </c>
      <c r="AC554" s="250" t="str">
        <f>IF((($A554="")*($B554=""))+((MID($Y554,1,4)&lt;&gt;"Wahl")*(Deckblatt!$C$14='WK-Vorlagen'!$C$82))+(Deckblatt!$C$14&lt;&gt;'WK-Vorlagen'!$C$82),"",IF(ISERROR(MATCH(VALUE(MID(I554,1,2)),Schwierigkeitsstufen!$G$7:$G$19,0)),"Gerät falsch",LOOKUP(VALUE(MID(I554,1,2)),Schwierigkeitsstufen!$G$7:$G$19,Schwierigkeitsstufen!$H$7:$H$19)))</f>
        <v/>
      </c>
      <c r="AD554" s="251" t="str">
        <f>IF((($A554="")*($B554=""))+((MID($Y554,1,4)&lt;&gt;"Wahl")*(Deckblatt!$C$14='WK-Vorlagen'!$C$82))+(Deckblatt!$C$14&lt;&gt;'WK-Vorlagen'!$C$82),"",IF(ISERROR(MATCH(VALUE(MID(J554,1,2)),Schwierigkeitsstufen!$G$7:$G$19,0)),"Gerät falsch",LOOKUP(VALUE(MID(J554,1,2)),Schwierigkeitsstufen!$G$7:$G$19,Schwierigkeitsstufen!$H$7:$H$19)))</f>
        <v/>
      </c>
      <c r="AE554" s="211"/>
      <c r="AG554" s="221" t="str">
        <f t="shared" si="72"/>
        <v/>
      </c>
      <c r="AH554" s="222" t="str">
        <f t="shared" si="74"/>
        <v/>
      </c>
      <c r="AI554" s="220">
        <f t="shared" si="79"/>
        <v>4</v>
      </c>
      <c r="AJ554" s="222">
        <f t="shared" si="75"/>
        <v>0</v>
      </c>
      <c r="AK554" s="299" t="str">
        <f>IF(ISERROR(LOOKUP(E554,WKNrListe,Übersicht!$R$7:$R$46)),"-",LOOKUP(E554,WKNrListe,Übersicht!$R$7:$R$46))</f>
        <v>-</v>
      </c>
      <c r="AL554" s="299" t="str">
        <f t="shared" si="78"/>
        <v>-</v>
      </c>
      <c r="AM554" s="303"/>
      <c r="AN554" s="174" t="str">
        <f t="shared" si="71"/>
        <v>Leer</v>
      </c>
    </row>
    <row r="555" spans="1:40" s="174" customFormat="1" ht="15" customHeight="1">
      <c r="A555" s="63"/>
      <c r="B555" s="63"/>
      <c r="C555" s="84"/>
      <c r="D555" s="85"/>
      <c r="E555" s="62"/>
      <c r="F555" s="62"/>
      <c r="G555" s="62"/>
      <c r="H555" s="62"/>
      <c r="I555" s="62"/>
      <c r="J555" s="62"/>
      <c r="K555" s="62"/>
      <c r="L555" s="62"/>
      <c r="M555" s="62"/>
      <c r="N555" s="62"/>
      <c r="O555" s="62"/>
      <c r="P555" s="62"/>
      <c r="Q555" s="62"/>
      <c r="R555" s="62"/>
      <c r="S555" s="258"/>
      <c r="T555" s="248" t="str">
        <f t="shared" si="76"/>
        <v/>
      </c>
      <c r="U555" s="249" t="str">
        <f t="shared" si="77"/>
        <v/>
      </c>
      <c r="V555" s="294" t="str">
        <f t="shared" si="73"/>
        <v/>
      </c>
      <c r="W555" s="294" t="str">
        <f>IF(((E555="")+(F555="")),"",IF(VLOOKUP(F555,Mannschaften!$A$1:$B$54,2,FALSE)&lt;&gt;E555,"Reiter Mannschaften füllen",""))</f>
        <v/>
      </c>
      <c r="X555" s="248" t="str">
        <f>IF(ISBLANK(C555),"",IF((U555&gt;(LOOKUP(E555,WKNrListe,Übersicht!$O$7:$O$46)))+(U555&lt;(LOOKUP(E555,WKNrListe,Übersicht!$P$7:$P$46))),"JG falsch",""))</f>
        <v/>
      </c>
      <c r="Y555" s="255" t="str">
        <f>IF((A555="")*(B555=""),"",IF(ISERROR(MATCH(E555,WKNrListe,0)),"WK falsch",LOOKUP(E555,WKNrListe,Übersicht!$B$7:$B$46)))</f>
        <v/>
      </c>
      <c r="Z555" s="269" t="str">
        <f>IF(((AJ555=0)*(AH555&lt;&gt;"")*(AK555="-"))+((AJ555&lt;&gt;0)*(AH555&lt;&gt;"")*(AK555="-")),IF(AG555="X",Übersicht!$C$70,Übersicht!$C$69),"-")</f>
        <v>-</v>
      </c>
      <c r="AA555" s="252" t="str">
        <f>IF((($A555="")*($B555=""))+((MID($Y555,1,4)&lt;&gt;"Wahl")*(Deckblatt!$C$14='WK-Vorlagen'!$C$82))+(Deckblatt!$C$14&lt;&gt;'WK-Vorlagen'!$C$82),"",IF(ISERROR(MATCH(VALUE(MID(G555,1,2)),Schwierigkeitsstufen!$G$7:$G$19,0)),"Gerät falsch",LOOKUP(VALUE(MID(G555,1,2)),Schwierigkeitsstufen!$G$7:$G$19,Schwierigkeitsstufen!$H$7:$H$19)))</f>
        <v/>
      </c>
      <c r="AB555" s="250" t="str">
        <f>IF((($A555="")*($B555=""))+((MID($Y555,1,4)&lt;&gt;"Wahl")*(Deckblatt!$C$14='WK-Vorlagen'!$C$82))+(Deckblatt!$C$14&lt;&gt;'WK-Vorlagen'!$C$82),"",IF(ISERROR(MATCH(VALUE(MID(H555,1,2)),Schwierigkeitsstufen!$G$7:$G$19,0)),"Gerät falsch",LOOKUP(VALUE(MID(H555,1,2)),Schwierigkeitsstufen!$G$7:$G$19,Schwierigkeitsstufen!$H$7:$H$19)))</f>
        <v/>
      </c>
      <c r="AC555" s="250" t="str">
        <f>IF((($A555="")*($B555=""))+((MID($Y555,1,4)&lt;&gt;"Wahl")*(Deckblatt!$C$14='WK-Vorlagen'!$C$82))+(Deckblatt!$C$14&lt;&gt;'WK-Vorlagen'!$C$82),"",IF(ISERROR(MATCH(VALUE(MID(I555,1,2)),Schwierigkeitsstufen!$G$7:$G$19,0)),"Gerät falsch",LOOKUP(VALUE(MID(I555,1,2)),Schwierigkeitsstufen!$G$7:$G$19,Schwierigkeitsstufen!$H$7:$H$19)))</f>
        <v/>
      </c>
      <c r="AD555" s="251" t="str">
        <f>IF((($A555="")*($B555=""))+((MID($Y555,1,4)&lt;&gt;"Wahl")*(Deckblatt!$C$14='WK-Vorlagen'!$C$82))+(Deckblatt!$C$14&lt;&gt;'WK-Vorlagen'!$C$82),"",IF(ISERROR(MATCH(VALUE(MID(J555,1,2)),Schwierigkeitsstufen!$G$7:$G$19,0)),"Gerät falsch",LOOKUP(VALUE(MID(J555,1,2)),Schwierigkeitsstufen!$G$7:$G$19,Schwierigkeitsstufen!$H$7:$H$19)))</f>
        <v/>
      </c>
      <c r="AE555" s="211"/>
      <c r="AG555" s="221" t="str">
        <f t="shared" si="72"/>
        <v/>
      </c>
      <c r="AH555" s="222" t="str">
        <f t="shared" si="74"/>
        <v/>
      </c>
      <c r="AI555" s="220">
        <f t="shared" si="79"/>
        <v>4</v>
      </c>
      <c r="AJ555" s="222">
        <f t="shared" si="75"/>
        <v>0</v>
      </c>
      <c r="AK555" s="299" t="str">
        <f>IF(ISERROR(LOOKUP(E555,WKNrListe,Übersicht!$R$7:$R$46)),"-",LOOKUP(E555,WKNrListe,Übersicht!$R$7:$R$46))</f>
        <v>-</v>
      </c>
      <c r="AL555" s="299" t="str">
        <f t="shared" si="78"/>
        <v>-</v>
      </c>
      <c r="AM555" s="303"/>
      <c r="AN555" s="174" t="str">
        <f t="shared" si="71"/>
        <v>Leer</v>
      </c>
    </row>
    <row r="556" spans="1:40" s="174" customFormat="1" ht="15" customHeight="1">
      <c r="A556" s="63"/>
      <c r="B556" s="63"/>
      <c r="C556" s="84"/>
      <c r="D556" s="85"/>
      <c r="E556" s="62"/>
      <c r="F556" s="62"/>
      <c r="G556" s="62"/>
      <c r="H556" s="62"/>
      <c r="I556" s="62"/>
      <c r="J556" s="62"/>
      <c r="K556" s="62"/>
      <c r="L556" s="62"/>
      <c r="M556" s="62"/>
      <c r="N556" s="62"/>
      <c r="O556" s="62"/>
      <c r="P556" s="62"/>
      <c r="Q556" s="62"/>
      <c r="R556" s="62"/>
      <c r="S556" s="258"/>
      <c r="T556" s="248" t="str">
        <f t="shared" si="76"/>
        <v/>
      </c>
      <c r="U556" s="249" t="str">
        <f t="shared" si="77"/>
        <v/>
      </c>
      <c r="V556" s="294" t="str">
        <f t="shared" si="73"/>
        <v/>
      </c>
      <c r="W556" s="294" t="str">
        <f>IF(((E556="")+(F556="")),"",IF(VLOOKUP(F556,Mannschaften!$A$1:$B$54,2,FALSE)&lt;&gt;E556,"Reiter Mannschaften füllen",""))</f>
        <v/>
      </c>
      <c r="X556" s="248" t="str">
        <f>IF(ISBLANK(C556),"",IF((U556&gt;(LOOKUP(E556,WKNrListe,Übersicht!$O$7:$O$46)))+(U556&lt;(LOOKUP(E556,WKNrListe,Übersicht!$P$7:$P$46))),"JG falsch",""))</f>
        <v/>
      </c>
      <c r="Y556" s="255" t="str">
        <f>IF((A556="")*(B556=""),"",IF(ISERROR(MATCH(E556,WKNrListe,0)),"WK falsch",LOOKUP(E556,WKNrListe,Übersicht!$B$7:$B$46)))</f>
        <v/>
      </c>
      <c r="Z556" s="269" t="str">
        <f>IF(((AJ556=0)*(AH556&lt;&gt;"")*(AK556="-"))+((AJ556&lt;&gt;0)*(AH556&lt;&gt;"")*(AK556="-")),IF(AG556="X",Übersicht!$C$70,Übersicht!$C$69),"-")</f>
        <v>-</v>
      </c>
      <c r="AA556" s="252" t="str">
        <f>IF((($A556="")*($B556=""))+((MID($Y556,1,4)&lt;&gt;"Wahl")*(Deckblatt!$C$14='WK-Vorlagen'!$C$82))+(Deckblatt!$C$14&lt;&gt;'WK-Vorlagen'!$C$82),"",IF(ISERROR(MATCH(VALUE(MID(G556,1,2)),Schwierigkeitsstufen!$G$7:$G$19,0)),"Gerät falsch",LOOKUP(VALUE(MID(G556,1,2)),Schwierigkeitsstufen!$G$7:$G$19,Schwierigkeitsstufen!$H$7:$H$19)))</f>
        <v/>
      </c>
      <c r="AB556" s="250" t="str">
        <f>IF((($A556="")*($B556=""))+((MID($Y556,1,4)&lt;&gt;"Wahl")*(Deckblatt!$C$14='WK-Vorlagen'!$C$82))+(Deckblatt!$C$14&lt;&gt;'WK-Vorlagen'!$C$82),"",IF(ISERROR(MATCH(VALUE(MID(H556,1,2)),Schwierigkeitsstufen!$G$7:$G$19,0)),"Gerät falsch",LOOKUP(VALUE(MID(H556,1,2)),Schwierigkeitsstufen!$G$7:$G$19,Schwierigkeitsstufen!$H$7:$H$19)))</f>
        <v/>
      </c>
      <c r="AC556" s="250" t="str">
        <f>IF((($A556="")*($B556=""))+((MID($Y556,1,4)&lt;&gt;"Wahl")*(Deckblatt!$C$14='WK-Vorlagen'!$C$82))+(Deckblatt!$C$14&lt;&gt;'WK-Vorlagen'!$C$82),"",IF(ISERROR(MATCH(VALUE(MID(I556,1,2)),Schwierigkeitsstufen!$G$7:$G$19,0)),"Gerät falsch",LOOKUP(VALUE(MID(I556,1,2)),Schwierigkeitsstufen!$G$7:$G$19,Schwierigkeitsstufen!$H$7:$H$19)))</f>
        <v/>
      </c>
      <c r="AD556" s="251" t="str">
        <f>IF((($A556="")*($B556=""))+((MID($Y556,1,4)&lt;&gt;"Wahl")*(Deckblatt!$C$14='WK-Vorlagen'!$C$82))+(Deckblatt!$C$14&lt;&gt;'WK-Vorlagen'!$C$82),"",IF(ISERROR(MATCH(VALUE(MID(J556,1,2)),Schwierigkeitsstufen!$G$7:$G$19,0)),"Gerät falsch",LOOKUP(VALUE(MID(J556,1,2)),Schwierigkeitsstufen!$G$7:$G$19,Schwierigkeitsstufen!$H$7:$H$19)))</f>
        <v/>
      </c>
      <c r="AE556" s="211"/>
      <c r="AG556" s="221" t="str">
        <f t="shared" si="72"/>
        <v/>
      </c>
      <c r="AH556" s="222" t="str">
        <f t="shared" si="74"/>
        <v/>
      </c>
      <c r="AI556" s="220">
        <f t="shared" si="79"/>
        <v>4</v>
      </c>
      <c r="AJ556" s="222">
        <f t="shared" si="75"/>
        <v>0</v>
      </c>
      <c r="AK556" s="299" t="str">
        <f>IF(ISERROR(LOOKUP(E556,WKNrListe,Übersicht!$R$7:$R$46)),"-",LOOKUP(E556,WKNrListe,Übersicht!$R$7:$R$46))</f>
        <v>-</v>
      </c>
      <c r="AL556" s="299" t="str">
        <f t="shared" si="78"/>
        <v>-</v>
      </c>
      <c r="AM556" s="303"/>
      <c r="AN556" s="174" t="str">
        <f t="shared" si="71"/>
        <v>Leer</v>
      </c>
    </row>
    <row r="557" spans="1:40" s="174" customFormat="1" ht="15" customHeight="1">
      <c r="A557" s="63"/>
      <c r="B557" s="63"/>
      <c r="C557" s="84"/>
      <c r="D557" s="85"/>
      <c r="E557" s="62"/>
      <c r="F557" s="62"/>
      <c r="G557" s="62"/>
      <c r="H557" s="62"/>
      <c r="I557" s="62"/>
      <c r="J557" s="62"/>
      <c r="K557" s="62"/>
      <c r="L557" s="62"/>
      <c r="M557" s="62"/>
      <c r="N557" s="62"/>
      <c r="O557" s="62"/>
      <c r="P557" s="62"/>
      <c r="Q557" s="62"/>
      <c r="R557" s="62"/>
      <c r="S557" s="258"/>
      <c r="T557" s="248" t="str">
        <f t="shared" si="76"/>
        <v/>
      </c>
      <c r="U557" s="249" t="str">
        <f t="shared" si="77"/>
        <v/>
      </c>
      <c r="V557" s="294" t="str">
        <f t="shared" si="73"/>
        <v/>
      </c>
      <c r="W557" s="294" t="str">
        <f>IF(((E557="")+(F557="")),"",IF(VLOOKUP(F557,Mannschaften!$A$1:$B$54,2,FALSE)&lt;&gt;E557,"Reiter Mannschaften füllen",""))</f>
        <v/>
      </c>
      <c r="X557" s="248" t="str">
        <f>IF(ISBLANK(C557),"",IF((U557&gt;(LOOKUP(E557,WKNrListe,Übersicht!$O$7:$O$46)))+(U557&lt;(LOOKUP(E557,WKNrListe,Übersicht!$P$7:$P$46))),"JG falsch",""))</f>
        <v/>
      </c>
      <c r="Y557" s="255" t="str">
        <f>IF((A557="")*(B557=""),"",IF(ISERROR(MATCH(E557,WKNrListe,0)),"WK falsch",LOOKUP(E557,WKNrListe,Übersicht!$B$7:$B$46)))</f>
        <v/>
      </c>
      <c r="Z557" s="269" t="str">
        <f>IF(((AJ557=0)*(AH557&lt;&gt;"")*(AK557="-"))+((AJ557&lt;&gt;0)*(AH557&lt;&gt;"")*(AK557="-")),IF(AG557="X",Übersicht!$C$70,Übersicht!$C$69),"-")</f>
        <v>-</v>
      </c>
      <c r="AA557" s="252" t="str">
        <f>IF((($A557="")*($B557=""))+((MID($Y557,1,4)&lt;&gt;"Wahl")*(Deckblatt!$C$14='WK-Vorlagen'!$C$82))+(Deckblatt!$C$14&lt;&gt;'WK-Vorlagen'!$C$82),"",IF(ISERROR(MATCH(VALUE(MID(G557,1,2)),Schwierigkeitsstufen!$G$7:$G$19,0)),"Gerät falsch",LOOKUP(VALUE(MID(G557,1,2)),Schwierigkeitsstufen!$G$7:$G$19,Schwierigkeitsstufen!$H$7:$H$19)))</f>
        <v/>
      </c>
      <c r="AB557" s="250" t="str">
        <f>IF((($A557="")*($B557=""))+((MID($Y557,1,4)&lt;&gt;"Wahl")*(Deckblatt!$C$14='WK-Vorlagen'!$C$82))+(Deckblatt!$C$14&lt;&gt;'WK-Vorlagen'!$C$82),"",IF(ISERROR(MATCH(VALUE(MID(H557,1,2)),Schwierigkeitsstufen!$G$7:$G$19,0)),"Gerät falsch",LOOKUP(VALUE(MID(H557,1,2)),Schwierigkeitsstufen!$G$7:$G$19,Schwierigkeitsstufen!$H$7:$H$19)))</f>
        <v/>
      </c>
      <c r="AC557" s="250" t="str">
        <f>IF((($A557="")*($B557=""))+((MID($Y557,1,4)&lt;&gt;"Wahl")*(Deckblatt!$C$14='WK-Vorlagen'!$C$82))+(Deckblatt!$C$14&lt;&gt;'WK-Vorlagen'!$C$82),"",IF(ISERROR(MATCH(VALUE(MID(I557,1,2)),Schwierigkeitsstufen!$G$7:$G$19,0)),"Gerät falsch",LOOKUP(VALUE(MID(I557,1,2)),Schwierigkeitsstufen!$G$7:$G$19,Schwierigkeitsstufen!$H$7:$H$19)))</f>
        <v/>
      </c>
      <c r="AD557" s="251" t="str">
        <f>IF((($A557="")*($B557=""))+((MID($Y557,1,4)&lt;&gt;"Wahl")*(Deckblatt!$C$14='WK-Vorlagen'!$C$82))+(Deckblatt!$C$14&lt;&gt;'WK-Vorlagen'!$C$82),"",IF(ISERROR(MATCH(VALUE(MID(J557,1,2)),Schwierigkeitsstufen!$G$7:$G$19,0)),"Gerät falsch",LOOKUP(VALUE(MID(J557,1,2)),Schwierigkeitsstufen!$G$7:$G$19,Schwierigkeitsstufen!$H$7:$H$19)))</f>
        <v/>
      </c>
      <c r="AE557" s="211"/>
      <c r="AG557" s="221" t="str">
        <f t="shared" si="72"/>
        <v/>
      </c>
      <c r="AH557" s="222" t="str">
        <f t="shared" si="74"/>
        <v/>
      </c>
      <c r="AI557" s="220">
        <f t="shared" si="79"/>
        <v>4</v>
      </c>
      <c r="AJ557" s="222">
        <f t="shared" si="75"/>
        <v>0</v>
      </c>
      <c r="AK557" s="299" t="str">
        <f>IF(ISERROR(LOOKUP(E557,WKNrListe,Übersicht!$R$7:$R$46)),"-",LOOKUP(E557,WKNrListe,Übersicht!$R$7:$R$46))</f>
        <v>-</v>
      </c>
      <c r="AL557" s="299" t="str">
        <f t="shared" si="78"/>
        <v>-</v>
      </c>
      <c r="AM557" s="303"/>
      <c r="AN557" s="174" t="str">
        <f t="shared" si="71"/>
        <v>Leer</v>
      </c>
    </row>
    <row r="558" spans="1:40" s="174" customFormat="1" ht="15" customHeight="1">
      <c r="A558" s="63"/>
      <c r="B558" s="63"/>
      <c r="C558" s="84"/>
      <c r="D558" s="85"/>
      <c r="E558" s="62"/>
      <c r="F558" s="62"/>
      <c r="G558" s="62"/>
      <c r="H558" s="62"/>
      <c r="I558" s="62"/>
      <c r="J558" s="62"/>
      <c r="K558" s="62"/>
      <c r="L558" s="62"/>
      <c r="M558" s="62"/>
      <c r="N558" s="62"/>
      <c r="O558" s="62"/>
      <c r="P558" s="62"/>
      <c r="Q558" s="62"/>
      <c r="R558" s="62"/>
      <c r="S558" s="258"/>
      <c r="T558" s="248" t="str">
        <f t="shared" si="76"/>
        <v/>
      </c>
      <c r="U558" s="249" t="str">
        <f t="shared" si="77"/>
        <v/>
      </c>
      <c r="V558" s="294" t="str">
        <f t="shared" si="73"/>
        <v/>
      </c>
      <c r="W558" s="294" t="str">
        <f>IF(((E558="")+(F558="")),"",IF(VLOOKUP(F558,Mannschaften!$A$1:$B$54,2,FALSE)&lt;&gt;E558,"Reiter Mannschaften füllen",""))</f>
        <v/>
      </c>
      <c r="X558" s="248" t="str">
        <f>IF(ISBLANK(C558),"",IF((U558&gt;(LOOKUP(E558,WKNrListe,Übersicht!$O$7:$O$46)))+(U558&lt;(LOOKUP(E558,WKNrListe,Übersicht!$P$7:$P$46))),"JG falsch",""))</f>
        <v/>
      </c>
      <c r="Y558" s="255" t="str">
        <f>IF((A558="")*(B558=""),"",IF(ISERROR(MATCH(E558,WKNrListe,0)),"WK falsch",LOOKUP(E558,WKNrListe,Übersicht!$B$7:$B$46)))</f>
        <v/>
      </c>
      <c r="Z558" s="269" t="str">
        <f>IF(((AJ558=0)*(AH558&lt;&gt;"")*(AK558="-"))+((AJ558&lt;&gt;0)*(AH558&lt;&gt;"")*(AK558="-")),IF(AG558="X",Übersicht!$C$70,Übersicht!$C$69),"-")</f>
        <v>-</v>
      </c>
      <c r="AA558" s="252" t="str">
        <f>IF((($A558="")*($B558=""))+((MID($Y558,1,4)&lt;&gt;"Wahl")*(Deckblatt!$C$14='WK-Vorlagen'!$C$82))+(Deckblatt!$C$14&lt;&gt;'WK-Vorlagen'!$C$82),"",IF(ISERROR(MATCH(VALUE(MID(G558,1,2)),Schwierigkeitsstufen!$G$7:$G$19,0)),"Gerät falsch",LOOKUP(VALUE(MID(G558,1,2)),Schwierigkeitsstufen!$G$7:$G$19,Schwierigkeitsstufen!$H$7:$H$19)))</f>
        <v/>
      </c>
      <c r="AB558" s="250" t="str">
        <f>IF((($A558="")*($B558=""))+((MID($Y558,1,4)&lt;&gt;"Wahl")*(Deckblatt!$C$14='WK-Vorlagen'!$C$82))+(Deckblatt!$C$14&lt;&gt;'WK-Vorlagen'!$C$82),"",IF(ISERROR(MATCH(VALUE(MID(H558,1,2)),Schwierigkeitsstufen!$G$7:$G$19,0)),"Gerät falsch",LOOKUP(VALUE(MID(H558,1,2)),Schwierigkeitsstufen!$G$7:$G$19,Schwierigkeitsstufen!$H$7:$H$19)))</f>
        <v/>
      </c>
      <c r="AC558" s="250" t="str">
        <f>IF((($A558="")*($B558=""))+((MID($Y558,1,4)&lt;&gt;"Wahl")*(Deckblatt!$C$14='WK-Vorlagen'!$C$82))+(Deckblatt!$C$14&lt;&gt;'WK-Vorlagen'!$C$82),"",IF(ISERROR(MATCH(VALUE(MID(I558,1,2)),Schwierigkeitsstufen!$G$7:$G$19,0)),"Gerät falsch",LOOKUP(VALUE(MID(I558,1,2)),Schwierigkeitsstufen!$G$7:$G$19,Schwierigkeitsstufen!$H$7:$H$19)))</f>
        <v/>
      </c>
      <c r="AD558" s="251" t="str">
        <f>IF((($A558="")*($B558=""))+((MID($Y558,1,4)&lt;&gt;"Wahl")*(Deckblatt!$C$14='WK-Vorlagen'!$C$82))+(Deckblatt!$C$14&lt;&gt;'WK-Vorlagen'!$C$82),"",IF(ISERROR(MATCH(VALUE(MID(J558,1,2)),Schwierigkeitsstufen!$G$7:$G$19,0)),"Gerät falsch",LOOKUP(VALUE(MID(J558,1,2)),Schwierigkeitsstufen!$G$7:$G$19,Schwierigkeitsstufen!$H$7:$H$19)))</f>
        <v/>
      </c>
      <c r="AE558" s="211"/>
      <c r="AG558" s="221" t="str">
        <f t="shared" si="72"/>
        <v/>
      </c>
      <c r="AH558" s="222" t="str">
        <f t="shared" si="74"/>
        <v/>
      </c>
      <c r="AI558" s="220">
        <f t="shared" si="79"/>
        <v>4</v>
      </c>
      <c r="AJ558" s="222">
        <f t="shared" si="75"/>
        <v>0</v>
      </c>
      <c r="AK558" s="299" t="str">
        <f>IF(ISERROR(LOOKUP(E558,WKNrListe,Übersicht!$R$7:$R$46)),"-",LOOKUP(E558,WKNrListe,Übersicht!$R$7:$R$46))</f>
        <v>-</v>
      </c>
      <c r="AL558" s="299" t="str">
        <f t="shared" si="78"/>
        <v>-</v>
      </c>
      <c r="AM558" s="303"/>
      <c r="AN558" s="174" t="str">
        <f t="shared" si="71"/>
        <v>Leer</v>
      </c>
    </row>
    <row r="559" spans="1:40" s="174" customFormat="1" ht="15" customHeight="1">
      <c r="A559" s="63"/>
      <c r="B559" s="63"/>
      <c r="C559" s="84"/>
      <c r="D559" s="85"/>
      <c r="E559" s="62"/>
      <c r="F559" s="62"/>
      <c r="G559" s="62"/>
      <c r="H559" s="62"/>
      <c r="I559" s="62"/>
      <c r="J559" s="62"/>
      <c r="K559" s="62"/>
      <c r="L559" s="62"/>
      <c r="M559" s="62"/>
      <c r="N559" s="62"/>
      <c r="O559" s="62"/>
      <c r="P559" s="62"/>
      <c r="Q559" s="62"/>
      <c r="R559" s="62"/>
      <c r="S559" s="258"/>
      <c r="T559" s="248" t="str">
        <f t="shared" si="76"/>
        <v/>
      </c>
      <c r="U559" s="249" t="str">
        <f t="shared" si="77"/>
        <v/>
      </c>
      <c r="V559" s="294" t="str">
        <f t="shared" si="73"/>
        <v/>
      </c>
      <c r="W559" s="294" t="str">
        <f>IF(((E559="")+(F559="")),"",IF(VLOOKUP(F559,Mannschaften!$A$1:$B$54,2,FALSE)&lt;&gt;E559,"Reiter Mannschaften füllen",""))</f>
        <v/>
      </c>
      <c r="X559" s="248" t="str">
        <f>IF(ISBLANK(C559),"",IF((U559&gt;(LOOKUP(E559,WKNrListe,Übersicht!$O$7:$O$46)))+(U559&lt;(LOOKUP(E559,WKNrListe,Übersicht!$P$7:$P$46))),"JG falsch",""))</f>
        <v/>
      </c>
      <c r="Y559" s="255" t="str">
        <f>IF((A559="")*(B559=""),"",IF(ISERROR(MATCH(E559,WKNrListe,0)),"WK falsch",LOOKUP(E559,WKNrListe,Übersicht!$B$7:$B$46)))</f>
        <v/>
      </c>
      <c r="Z559" s="269" t="str">
        <f>IF(((AJ559=0)*(AH559&lt;&gt;"")*(AK559="-"))+((AJ559&lt;&gt;0)*(AH559&lt;&gt;"")*(AK559="-")),IF(AG559="X",Übersicht!$C$70,Übersicht!$C$69),"-")</f>
        <v>-</v>
      </c>
      <c r="AA559" s="252" t="str">
        <f>IF((($A559="")*($B559=""))+((MID($Y559,1,4)&lt;&gt;"Wahl")*(Deckblatt!$C$14='WK-Vorlagen'!$C$82))+(Deckblatt!$C$14&lt;&gt;'WK-Vorlagen'!$C$82),"",IF(ISERROR(MATCH(VALUE(MID(G559,1,2)),Schwierigkeitsstufen!$G$7:$G$19,0)),"Gerät falsch",LOOKUP(VALUE(MID(G559,1,2)),Schwierigkeitsstufen!$G$7:$G$19,Schwierigkeitsstufen!$H$7:$H$19)))</f>
        <v/>
      </c>
      <c r="AB559" s="250" t="str">
        <f>IF((($A559="")*($B559=""))+((MID($Y559,1,4)&lt;&gt;"Wahl")*(Deckblatt!$C$14='WK-Vorlagen'!$C$82))+(Deckblatt!$C$14&lt;&gt;'WK-Vorlagen'!$C$82),"",IF(ISERROR(MATCH(VALUE(MID(H559,1,2)),Schwierigkeitsstufen!$G$7:$G$19,0)),"Gerät falsch",LOOKUP(VALUE(MID(H559,1,2)),Schwierigkeitsstufen!$G$7:$G$19,Schwierigkeitsstufen!$H$7:$H$19)))</f>
        <v/>
      </c>
      <c r="AC559" s="250" t="str">
        <f>IF((($A559="")*($B559=""))+((MID($Y559,1,4)&lt;&gt;"Wahl")*(Deckblatt!$C$14='WK-Vorlagen'!$C$82))+(Deckblatt!$C$14&lt;&gt;'WK-Vorlagen'!$C$82),"",IF(ISERROR(MATCH(VALUE(MID(I559,1,2)),Schwierigkeitsstufen!$G$7:$G$19,0)),"Gerät falsch",LOOKUP(VALUE(MID(I559,1,2)),Schwierigkeitsstufen!$G$7:$G$19,Schwierigkeitsstufen!$H$7:$H$19)))</f>
        <v/>
      </c>
      <c r="AD559" s="251" t="str">
        <f>IF((($A559="")*($B559=""))+((MID($Y559,1,4)&lt;&gt;"Wahl")*(Deckblatt!$C$14='WK-Vorlagen'!$C$82))+(Deckblatt!$C$14&lt;&gt;'WK-Vorlagen'!$C$82),"",IF(ISERROR(MATCH(VALUE(MID(J559,1,2)),Schwierigkeitsstufen!$G$7:$G$19,0)),"Gerät falsch",LOOKUP(VALUE(MID(J559,1,2)),Schwierigkeitsstufen!$G$7:$G$19,Schwierigkeitsstufen!$H$7:$H$19)))</f>
        <v/>
      </c>
      <c r="AE559" s="211"/>
      <c r="AG559" s="221" t="str">
        <f t="shared" si="72"/>
        <v/>
      </c>
      <c r="AH559" s="222" t="str">
        <f t="shared" si="74"/>
        <v/>
      </c>
      <c r="AI559" s="220">
        <f t="shared" si="79"/>
        <v>4</v>
      </c>
      <c r="AJ559" s="222">
        <f t="shared" si="75"/>
        <v>0</v>
      </c>
      <c r="AK559" s="299" t="str">
        <f>IF(ISERROR(LOOKUP(E559,WKNrListe,Übersicht!$R$7:$R$46)),"-",LOOKUP(E559,WKNrListe,Übersicht!$R$7:$R$46))</f>
        <v>-</v>
      </c>
      <c r="AL559" s="299" t="str">
        <f t="shared" si="78"/>
        <v>-</v>
      </c>
      <c r="AM559" s="303"/>
      <c r="AN559" s="174" t="str">
        <f t="shared" ref="AN559:AN622" si="80">IF(ISBLANK(A559)*ISBLANK(B559)*ISBLANK(C559)*ISBLANK(E559)*ISBLANK(F559)*ISBLANK(G559)*ISBLANK(H559)*ISBLANK(I559)*ISBLANK(J559),"Leer","Voll")</f>
        <v>Leer</v>
      </c>
    </row>
    <row r="560" spans="1:40" s="174" customFormat="1" ht="15" customHeight="1">
      <c r="A560" s="63"/>
      <c r="B560" s="63"/>
      <c r="C560" s="84"/>
      <c r="D560" s="85"/>
      <c r="E560" s="62"/>
      <c r="F560" s="62"/>
      <c r="G560" s="62"/>
      <c r="H560" s="62"/>
      <c r="I560" s="62"/>
      <c r="J560" s="62"/>
      <c r="K560" s="62"/>
      <c r="L560" s="62"/>
      <c r="M560" s="62"/>
      <c r="N560" s="62"/>
      <c r="O560" s="62"/>
      <c r="P560" s="62"/>
      <c r="Q560" s="62"/>
      <c r="R560" s="62"/>
      <c r="S560" s="258"/>
      <c r="T560" s="248" t="str">
        <f t="shared" si="76"/>
        <v/>
      </c>
      <c r="U560" s="249" t="str">
        <f t="shared" si="77"/>
        <v/>
      </c>
      <c r="V560" s="294" t="str">
        <f t="shared" si="73"/>
        <v/>
      </c>
      <c r="W560" s="294" t="str">
        <f>IF(((E560="")+(F560="")),"",IF(VLOOKUP(F560,Mannschaften!$A$1:$B$54,2,FALSE)&lt;&gt;E560,"Reiter Mannschaften füllen",""))</f>
        <v/>
      </c>
      <c r="X560" s="248" t="str">
        <f>IF(ISBLANK(C560),"",IF((U560&gt;(LOOKUP(E560,WKNrListe,Übersicht!$O$7:$O$46)))+(U560&lt;(LOOKUP(E560,WKNrListe,Übersicht!$P$7:$P$46))),"JG falsch",""))</f>
        <v/>
      </c>
      <c r="Y560" s="255" t="str">
        <f>IF((A560="")*(B560=""),"",IF(ISERROR(MATCH(E560,WKNrListe,0)),"WK falsch",LOOKUP(E560,WKNrListe,Übersicht!$B$7:$B$46)))</f>
        <v/>
      </c>
      <c r="Z560" s="269" t="str">
        <f>IF(((AJ560=0)*(AH560&lt;&gt;"")*(AK560="-"))+((AJ560&lt;&gt;0)*(AH560&lt;&gt;"")*(AK560="-")),IF(AG560="X",Übersicht!$C$70,Übersicht!$C$69),"-")</f>
        <v>-</v>
      </c>
      <c r="AA560" s="252" t="str">
        <f>IF((($A560="")*($B560=""))+((MID($Y560,1,4)&lt;&gt;"Wahl")*(Deckblatt!$C$14='WK-Vorlagen'!$C$82))+(Deckblatt!$C$14&lt;&gt;'WK-Vorlagen'!$C$82),"",IF(ISERROR(MATCH(VALUE(MID(G560,1,2)),Schwierigkeitsstufen!$G$7:$G$19,0)),"Gerät falsch",LOOKUP(VALUE(MID(G560,1,2)),Schwierigkeitsstufen!$G$7:$G$19,Schwierigkeitsstufen!$H$7:$H$19)))</f>
        <v/>
      </c>
      <c r="AB560" s="250" t="str">
        <f>IF((($A560="")*($B560=""))+((MID($Y560,1,4)&lt;&gt;"Wahl")*(Deckblatt!$C$14='WK-Vorlagen'!$C$82))+(Deckblatt!$C$14&lt;&gt;'WK-Vorlagen'!$C$82),"",IF(ISERROR(MATCH(VALUE(MID(H560,1,2)),Schwierigkeitsstufen!$G$7:$G$19,0)),"Gerät falsch",LOOKUP(VALUE(MID(H560,1,2)),Schwierigkeitsstufen!$G$7:$G$19,Schwierigkeitsstufen!$H$7:$H$19)))</f>
        <v/>
      </c>
      <c r="AC560" s="250" t="str">
        <f>IF((($A560="")*($B560=""))+((MID($Y560,1,4)&lt;&gt;"Wahl")*(Deckblatt!$C$14='WK-Vorlagen'!$C$82))+(Deckblatt!$C$14&lt;&gt;'WK-Vorlagen'!$C$82),"",IF(ISERROR(MATCH(VALUE(MID(I560,1,2)),Schwierigkeitsstufen!$G$7:$G$19,0)),"Gerät falsch",LOOKUP(VALUE(MID(I560,1,2)),Schwierigkeitsstufen!$G$7:$G$19,Schwierigkeitsstufen!$H$7:$H$19)))</f>
        <v/>
      </c>
      <c r="AD560" s="251" t="str">
        <f>IF((($A560="")*($B560=""))+((MID($Y560,1,4)&lt;&gt;"Wahl")*(Deckblatt!$C$14='WK-Vorlagen'!$C$82))+(Deckblatt!$C$14&lt;&gt;'WK-Vorlagen'!$C$82),"",IF(ISERROR(MATCH(VALUE(MID(J560,1,2)),Schwierigkeitsstufen!$G$7:$G$19,0)),"Gerät falsch",LOOKUP(VALUE(MID(J560,1,2)),Schwierigkeitsstufen!$G$7:$G$19,Schwierigkeitsstufen!$H$7:$H$19)))</f>
        <v/>
      </c>
      <c r="AE560" s="211"/>
      <c r="AG560" s="221" t="str">
        <f t="shared" si="72"/>
        <v/>
      </c>
      <c r="AH560" s="222" t="str">
        <f t="shared" si="74"/>
        <v/>
      </c>
      <c r="AI560" s="220">
        <f t="shared" si="79"/>
        <v>4</v>
      </c>
      <c r="AJ560" s="222">
        <f t="shared" si="75"/>
        <v>0</v>
      </c>
      <c r="AK560" s="299" t="str">
        <f>IF(ISERROR(LOOKUP(E560,WKNrListe,Übersicht!$R$7:$R$46)),"-",LOOKUP(E560,WKNrListe,Übersicht!$R$7:$R$46))</f>
        <v>-</v>
      </c>
      <c r="AL560" s="299" t="str">
        <f t="shared" si="78"/>
        <v>-</v>
      </c>
      <c r="AM560" s="303"/>
      <c r="AN560" s="174" t="str">
        <f t="shared" si="80"/>
        <v>Leer</v>
      </c>
    </row>
    <row r="561" spans="1:40" s="174" customFormat="1" ht="15" customHeight="1">
      <c r="A561" s="63"/>
      <c r="B561" s="63"/>
      <c r="C561" s="84"/>
      <c r="D561" s="85"/>
      <c r="E561" s="62"/>
      <c r="F561" s="62"/>
      <c r="G561" s="62"/>
      <c r="H561" s="62"/>
      <c r="I561" s="62"/>
      <c r="J561" s="62"/>
      <c r="K561" s="62"/>
      <c r="L561" s="62"/>
      <c r="M561" s="62"/>
      <c r="N561" s="62"/>
      <c r="O561" s="62"/>
      <c r="P561" s="62"/>
      <c r="Q561" s="62"/>
      <c r="R561" s="62"/>
      <c r="S561" s="258"/>
      <c r="T561" s="248" t="str">
        <f t="shared" si="76"/>
        <v/>
      </c>
      <c r="U561" s="249" t="str">
        <f t="shared" si="77"/>
        <v/>
      </c>
      <c r="V561" s="294" t="str">
        <f t="shared" si="73"/>
        <v/>
      </c>
      <c r="W561" s="294" t="str">
        <f>IF(((E561="")+(F561="")),"",IF(VLOOKUP(F561,Mannschaften!$A$1:$B$54,2,FALSE)&lt;&gt;E561,"Reiter Mannschaften füllen",""))</f>
        <v/>
      </c>
      <c r="X561" s="248" t="str">
        <f>IF(ISBLANK(C561),"",IF((U561&gt;(LOOKUP(E561,WKNrListe,Übersicht!$O$7:$O$46)))+(U561&lt;(LOOKUP(E561,WKNrListe,Übersicht!$P$7:$P$46))),"JG falsch",""))</f>
        <v/>
      </c>
      <c r="Y561" s="255" t="str">
        <f>IF((A561="")*(B561=""),"",IF(ISERROR(MATCH(E561,WKNrListe,0)),"WK falsch",LOOKUP(E561,WKNrListe,Übersicht!$B$7:$B$46)))</f>
        <v/>
      </c>
      <c r="Z561" s="269" t="str">
        <f>IF(((AJ561=0)*(AH561&lt;&gt;"")*(AK561="-"))+((AJ561&lt;&gt;0)*(AH561&lt;&gt;"")*(AK561="-")),IF(AG561="X",Übersicht!$C$70,Übersicht!$C$69),"-")</f>
        <v>-</v>
      </c>
      <c r="AA561" s="252" t="str">
        <f>IF((($A561="")*($B561=""))+((MID($Y561,1,4)&lt;&gt;"Wahl")*(Deckblatt!$C$14='WK-Vorlagen'!$C$82))+(Deckblatt!$C$14&lt;&gt;'WK-Vorlagen'!$C$82),"",IF(ISERROR(MATCH(VALUE(MID(G561,1,2)),Schwierigkeitsstufen!$G$7:$G$19,0)),"Gerät falsch",LOOKUP(VALUE(MID(G561,1,2)),Schwierigkeitsstufen!$G$7:$G$19,Schwierigkeitsstufen!$H$7:$H$19)))</f>
        <v/>
      </c>
      <c r="AB561" s="250" t="str">
        <f>IF((($A561="")*($B561=""))+((MID($Y561,1,4)&lt;&gt;"Wahl")*(Deckblatt!$C$14='WK-Vorlagen'!$C$82))+(Deckblatt!$C$14&lt;&gt;'WK-Vorlagen'!$C$82),"",IF(ISERROR(MATCH(VALUE(MID(H561,1,2)),Schwierigkeitsstufen!$G$7:$G$19,0)),"Gerät falsch",LOOKUP(VALUE(MID(H561,1,2)),Schwierigkeitsstufen!$G$7:$G$19,Schwierigkeitsstufen!$H$7:$H$19)))</f>
        <v/>
      </c>
      <c r="AC561" s="250" t="str">
        <f>IF((($A561="")*($B561=""))+((MID($Y561,1,4)&lt;&gt;"Wahl")*(Deckblatt!$C$14='WK-Vorlagen'!$C$82))+(Deckblatt!$C$14&lt;&gt;'WK-Vorlagen'!$C$82),"",IF(ISERROR(MATCH(VALUE(MID(I561,1,2)),Schwierigkeitsstufen!$G$7:$G$19,0)),"Gerät falsch",LOOKUP(VALUE(MID(I561,1,2)),Schwierigkeitsstufen!$G$7:$G$19,Schwierigkeitsstufen!$H$7:$H$19)))</f>
        <v/>
      </c>
      <c r="AD561" s="251" t="str">
        <f>IF((($A561="")*($B561=""))+((MID($Y561,1,4)&lt;&gt;"Wahl")*(Deckblatt!$C$14='WK-Vorlagen'!$C$82))+(Deckblatt!$C$14&lt;&gt;'WK-Vorlagen'!$C$82),"",IF(ISERROR(MATCH(VALUE(MID(J561,1,2)),Schwierigkeitsstufen!$G$7:$G$19,0)),"Gerät falsch",LOOKUP(VALUE(MID(J561,1,2)),Schwierigkeitsstufen!$G$7:$G$19,Schwierigkeitsstufen!$H$7:$H$19)))</f>
        <v/>
      </c>
      <c r="AE561" s="211"/>
      <c r="AG561" s="221" t="str">
        <f t="shared" si="72"/>
        <v/>
      </c>
      <c r="AH561" s="222" t="str">
        <f t="shared" si="74"/>
        <v/>
      </c>
      <c r="AI561" s="220">
        <f t="shared" si="79"/>
        <v>4</v>
      </c>
      <c r="AJ561" s="222">
        <f t="shared" si="75"/>
        <v>0</v>
      </c>
      <c r="AK561" s="299" t="str">
        <f>IF(ISERROR(LOOKUP(E561,WKNrListe,Übersicht!$R$7:$R$46)),"-",LOOKUP(E561,WKNrListe,Übersicht!$R$7:$R$46))</f>
        <v>-</v>
      </c>
      <c r="AL561" s="299" t="str">
        <f t="shared" si="78"/>
        <v>-</v>
      </c>
      <c r="AM561" s="303"/>
      <c r="AN561" s="174" t="str">
        <f t="shared" si="80"/>
        <v>Leer</v>
      </c>
    </row>
    <row r="562" spans="1:40" s="174" customFormat="1" ht="15" customHeight="1">
      <c r="A562" s="63"/>
      <c r="B562" s="63"/>
      <c r="C562" s="84"/>
      <c r="D562" s="85"/>
      <c r="E562" s="62"/>
      <c r="F562" s="62"/>
      <c r="G562" s="62"/>
      <c r="H562" s="62"/>
      <c r="I562" s="62"/>
      <c r="J562" s="62"/>
      <c r="K562" s="62"/>
      <c r="L562" s="62"/>
      <c r="M562" s="62"/>
      <c r="N562" s="62"/>
      <c r="O562" s="62"/>
      <c r="P562" s="62"/>
      <c r="Q562" s="62"/>
      <c r="R562" s="62"/>
      <c r="S562" s="258"/>
      <c r="T562" s="248" t="str">
        <f t="shared" si="76"/>
        <v/>
      </c>
      <c r="U562" s="249" t="str">
        <f t="shared" si="77"/>
        <v/>
      </c>
      <c r="V562" s="294" t="str">
        <f t="shared" si="73"/>
        <v/>
      </c>
      <c r="W562" s="294" t="str">
        <f>IF(((E562="")+(F562="")),"",IF(VLOOKUP(F562,Mannschaften!$A$1:$B$54,2,FALSE)&lt;&gt;E562,"Reiter Mannschaften füllen",""))</f>
        <v/>
      </c>
      <c r="X562" s="248" t="str">
        <f>IF(ISBLANK(C562),"",IF((U562&gt;(LOOKUP(E562,WKNrListe,Übersicht!$O$7:$O$46)))+(U562&lt;(LOOKUP(E562,WKNrListe,Übersicht!$P$7:$P$46))),"JG falsch",""))</f>
        <v/>
      </c>
      <c r="Y562" s="255" t="str">
        <f>IF((A562="")*(B562=""),"",IF(ISERROR(MATCH(E562,WKNrListe,0)),"WK falsch",LOOKUP(E562,WKNrListe,Übersicht!$B$7:$B$46)))</f>
        <v/>
      </c>
      <c r="Z562" s="269" t="str">
        <f>IF(((AJ562=0)*(AH562&lt;&gt;"")*(AK562="-"))+((AJ562&lt;&gt;0)*(AH562&lt;&gt;"")*(AK562="-")),IF(AG562="X",Übersicht!$C$70,Übersicht!$C$69),"-")</f>
        <v>-</v>
      </c>
      <c r="AA562" s="252" t="str">
        <f>IF((($A562="")*($B562=""))+((MID($Y562,1,4)&lt;&gt;"Wahl")*(Deckblatt!$C$14='WK-Vorlagen'!$C$82))+(Deckblatt!$C$14&lt;&gt;'WK-Vorlagen'!$C$82),"",IF(ISERROR(MATCH(VALUE(MID(G562,1,2)),Schwierigkeitsstufen!$G$7:$G$19,0)),"Gerät falsch",LOOKUP(VALUE(MID(G562,1,2)),Schwierigkeitsstufen!$G$7:$G$19,Schwierigkeitsstufen!$H$7:$H$19)))</f>
        <v/>
      </c>
      <c r="AB562" s="250" t="str">
        <f>IF((($A562="")*($B562=""))+((MID($Y562,1,4)&lt;&gt;"Wahl")*(Deckblatt!$C$14='WK-Vorlagen'!$C$82))+(Deckblatt!$C$14&lt;&gt;'WK-Vorlagen'!$C$82),"",IF(ISERROR(MATCH(VALUE(MID(H562,1,2)),Schwierigkeitsstufen!$G$7:$G$19,0)),"Gerät falsch",LOOKUP(VALUE(MID(H562,1,2)),Schwierigkeitsstufen!$G$7:$G$19,Schwierigkeitsstufen!$H$7:$H$19)))</f>
        <v/>
      </c>
      <c r="AC562" s="250" t="str">
        <f>IF((($A562="")*($B562=""))+((MID($Y562,1,4)&lt;&gt;"Wahl")*(Deckblatt!$C$14='WK-Vorlagen'!$C$82))+(Deckblatt!$C$14&lt;&gt;'WK-Vorlagen'!$C$82),"",IF(ISERROR(MATCH(VALUE(MID(I562,1,2)),Schwierigkeitsstufen!$G$7:$G$19,0)),"Gerät falsch",LOOKUP(VALUE(MID(I562,1,2)),Schwierigkeitsstufen!$G$7:$G$19,Schwierigkeitsstufen!$H$7:$H$19)))</f>
        <v/>
      </c>
      <c r="AD562" s="251" t="str">
        <f>IF((($A562="")*($B562=""))+((MID($Y562,1,4)&lt;&gt;"Wahl")*(Deckblatt!$C$14='WK-Vorlagen'!$C$82))+(Deckblatt!$C$14&lt;&gt;'WK-Vorlagen'!$C$82),"",IF(ISERROR(MATCH(VALUE(MID(J562,1,2)),Schwierigkeitsstufen!$G$7:$G$19,0)),"Gerät falsch",LOOKUP(VALUE(MID(J562,1,2)),Schwierigkeitsstufen!$G$7:$G$19,Schwierigkeitsstufen!$H$7:$H$19)))</f>
        <v/>
      </c>
      <c r="AE562" s="211"/>
      <c r="AG562" s="221" t="str">
        <f t="shared" si="72"/>
        <v/>
      </c>
      <c r="AH562" s="222" t="str">
        <f t="shared" si="74"/>
        <v/>
      </c>
      <c r="AI562" s="220">
        <f t="shared" si="79"/>
        <v>4</v>
      </c>
      <c r="AJ562" s="222">
        <f t="shared" si="75"/>
        <v>0</v>
      </c>
      <c r="AK562" s="299" t="str">
        <f>IF(ISERROR(LOOKUP(E562,WKNrListe,Übersicht!$R$7:$R$46)),"-",LOOKUP(E562,WKNrListe,Übersicht!$R$7:$R$46))</f>
        <v>-</v>
      </c>
      <c r="AL562" s="299" t="str">
        <f t="shared" si="78"/>
        <v>-</v>
      </c>
      <c r="AM562" s="303"/>
      <c r="AN562" s="174" t="str">
        <f t="shared" si="80"/>
        <v>Leer</v>
      </c>
    </row>
    <row r="563" spans="1:40" s="174" customFormat="1" ht="15" customHeight="1">
      <c r="A563" s="63"/>
      <c r="B563" s="63"/>
      <c r="C563" s="84"/>
      <c r="D563" s="85"/>
      <c r="E563" s="62"/>
      <c r="F563" s="62"/>
      <c r="G563" s="62"/>
      <c r="H563" s="62"/>
      <c r="I563" s="62"/>
      <c r="J563" s="62"/>
      <c r="K563" s="62"/>
      <c r="L563" s="62"/>
      <c r="M563" s="62"/>
      <c r="N563" s="62"/>
      <c r="O563" s="62"/>
      <c r="P563" s="62"/>
      <c r="Q563" s="62"/>
      <c r="R563" s="62"/>
      <c r="S563" s="258"/>
      <c r="T563" s="248" t="str">
        <f t="shared" si="76"/>
        <v/>
      </c>
      <c r="U563" s="249" t="str">
        <f t="shared" si="77"/>
        <v/>
      </c>
      <c r="V563" s="294" t="str">
        <f t="shared" si="73"/>
        <v/>
      </c>
      <c r="W563" s="294" t="str">
        <f>IF(((E563="")+(F563="")),"",IF(VLOOKUP(F563,Mannschaften!$A$1:$B$54,2,FALSE)&lt;&gt;E563,"Reiter Mannschaften füllen",""))</f>
        <v/>
      </c>
      <c r="X563" s="248" t="str">
        <f>IF(ISBLANK(C563),"",IF((U563&gt;(LOOKUP(E563,WKNrListe,Übersicht!$O$7:$O$46)))+(U563&lt;(LOOKUP(E563,WKNrListe,Übersicht!$P$7:$P$46))),"JG falsch",""))</f>
        <v/>
      </c>
      <c r="Y563" s="255" t="str">
        <f>IF((A563="")*(B563=""),"",IF(ISERROR(MATCH(E563,WKNrListe,0)),"WK falsch",LOOKUP(E563,WKNrListe,Übersicht!$B$7:$B$46)))</f>
        <v/>
      </c>
      <c r="Z563" s="269" t="str">
        <f>IF(((AJ563=0)*(AH563&lt;&gt;"")*(AK563="-"))+((AJ563&lt;&gt;0)*(AH563&lt;&gt;"")*(AK563="-")),IF(AG563="X",Übersicht!$C$70,Übersicht!$C$69),"-")</f>
        <v>-</v>
      </c>
      <c r="AA563" s="252" t="str">
        <f>IF((($A563="")*($B563=""))+((MID($Y563,1,4)&lt;&gt;"Wahl")*(Deckblatt!$C$14='WK-Vorlagen'!$C$82))+(Deckblatt!$C$14&lt;&gt;'WK-Vorlagen'!$C$82),"",IF(ISERROR(MATCH(VALUE(MID(G563,1,2)),Schwierigkeitsstufen!$G$7:$G$19,0)),"Gerät falsch",LOOKUP(VALUE(MID(G563,1,2)),Schwierigkeitsstufen!$G$7:$G$19,Schwierigkeitsstufen!$H$7:$H$19)))</f>
        <v/>
      </c>
      <c r="AB563" s="250" t="str">
        <f>IF((($A563="")*($B563=""))+((MID($Y563,1,4)&lt;&gt;"Wahl")*(Deckblatt!$C$14='WK-Vorlagen'!$C$82))+(Deckblatt!$C$14&lt;&gt;'WK-Vorlagen'!$C$82),"",IF(ISERROR(MATCH(VALUE(MID(H563,1,2)),Schwierigkeitsstufen!$G$7:$G$19,0)),"Gerät falsch",LOOKUP(VALUE(MID(H563,1,2)),Schwierigkeitsstufen!$G$7:$G$19,Schwierigkeitsstufen!$H$7:$H$19)))</f>
        <v/>
      </c>
      <c r="AC563" s="250" t="str">
        <f>IF((($A563="")*($B563=""))+((MID($Y563,1,4)&lt;&gt;"Wahl")*(Deckblatt!$C$14='WK-Vorlagen'!$C$82))+(Deckblatt!$C$14&lt;&gt;'WK-Vorlagen'!$C$82),"",IF(ISERROR(MATCH(VALUE(MID(I563,1,2)),Schwierigkeitsstufen!$G$7:$G$19,0)),"Gerät falsch",LOOKUP(VALUE(MID(I563,1,2)),Schwierigkeitsstufen!$G$7:$G$19,Schwierigkeitsstufen!$H$7:$H$19)))</f>
        <v/>
      </c>
      <c r="AD563" s="251" t="str">
        <f>IF((($A563="")*($B563=""))+((MID($Y563,1,4)&lt;&gt;"Wahl")*(Deckblatt!$C$14='WK-Vorlagen'!$C$82))+(Deckblatt!$C$14&lt;&gt;'WK-Vorlagen'!$C$82),"",IF(ISERROR(MATCH(VALUE(MID(J563,1,2)),Schwierigkeitsstufen!$G$7:$G$19,0)),"Gerät falsch",LOOKUP(VALUE(MID(J563,1,2)),Schwierigkeitsstufen!$G$7:$G$19,Schwierigkeitsstufen!$H$7:$H$19)))</f>
        <v/>
      </c>
      <c r="AE563" s="211"/>
      <c r="AG563" s="221" t="str">
        <f t="shared" si="72"/>
        <v/>
      </c>
      <c r="AH563" s="222" t="str">
        <f t="shared" si="74"/>
        <v/>
      </c>
      <c r="AI563" s="220">
        <f t="shared" si="79"/>
        <v>4</v>
      </c>
      <c r="AJ563" s="222">
        <f t="shared" si="75"/>
        <v>0</v>
      </c>
      <c r="AK563" s="299" t="str">
        <f>IF(ISERROR(LOOKUP(E563,WKNrListe,Übersicht!$R$7:$R$46)),"-",LOOKUP(E563,WKNrListe,Übersicht!$R$7:$R$46))</f>
        <v>-</v>
      </c>
      <c r="AL563" s="299" t="str">
        <f t="shared" si="78"/>
        <v>-</v>
      </c>
      <c r="AM563" s="303"/>
      <c r="AN563" s="174" t="str">
        <f t="shared" si="80"/>
        <v>Leer</v>
      </c>
    </row>
    <row r="564" spans="1:40" s="174" customFormat="1" ht="15" customHeight="1">
      <c r="A564" s="63"/>
      <c r="B564" s="63"/>
      <c r="C564" s="84"/>
      <c r="D564" s="85"/>
      <c r="E564" s="62"/>
      <c r="F564" s="62"/>
      <c r="G564" s="62"/>
      <c r="H564" s="62"/>
      <c r="I564" s="62"/>
      <c r="J564" s="62"/>
      <c r="K564" s="62"/>
      <c r="L564" s="62"/>
      <c r="M564" s="62"/>
      <c r="N564" s="62"/>
      <c r="O564" s="62"/>
      <c r="P564" s="62"/>
      <c r="Q564" s="62"/>
      <c r="R564" s="62"/>
      <c r="S564" s="258"/>
      <c r="T564" s="248" t="str">
        <f t="shared" si="76"/>
        <v/>
      </c>
      <c r="U564" s="249" t="str">
        <f t="shared" si="77"/>
        <v/>
      </c>
      <c r="V564" s="294" t="str">
        <f t="shared" si="73"/>
        <v/>
      </c>
      <c r="W564" s="294" t="str">
        <f>IF(((E564="")+(F564="")),"",IF(VLOOKUP(F564,Mannschaften!$A$1:$B$54,2,FALSE)&lt;&gt;E564,"Reiter Mannschaften füllen",""))</f>
        <v/>
      </c>
      <c r="X564" s="248" t="str">
        <f>IF(ISBLANK(C564),"",IF((U564&gt;(LOOKUP(E564,WKNrListe,Übersicht!$O$7:$O$46)))+(U564&lt;(LOOKUP(E564,WKNrListe,Übersicht!$P$7:$P$46))),"JG falsch",""))</f>
        <v/>
      </c>
      <c r="Y564" s="255" t="str">
        <f>IF((A564="")*(B564=""),"",IF(ISERROR(MATCH(E564,WKNrListe,0)),"WK falsch",LOOKUP(E564,WKNrListe,Übersicht!$B$7:$B$46)))</f>
        <v/>
      </c>
      <c r="Z564" s="269" t="str">
        <f>IF(((AJ564=0)*(AH564&lt;&gt;"")*(AK564="-"))+((AJ564&lt;&gt;0)*(AH564&lt;&gt;"")*(AK564="-")),IF(AG564="X",Übersicht!$C$70,Übersicht!$C$69),"-")</f>
        <v>-</v>
      </c>
      <c r="AA564" s="252" t="str">
        <f>IF((($A564="")*($B564=""))+((MID($Y564,1,4)&lt;&gt;"Wahl")*(Deckblatt!$C$14='WK-Vorlagen'!$C$82))+(Deckblatt!$C$14&lt;&gt;'WK-Vorlagen'!$C$82),"",IF(ISERROR(MATCH(VALUE(MID(G564,1,2)),Schwierigkeitsstufen!$G$7:$G$19,0)),"Gerät falsch",LOOKUP(VALUE(MID(G564,1,2)),Schwierigkeitsstufen!$G$7:$G$19,Schwierigkeitsstufen!$H$7:$H$19)))</f>
        <v/>
      </c>
      <c r="AB564" s="250" t="str">
        <f>IF((($A564="")*($B564=""))+((MID($Y564,1,4)&lt;&gt;"Wahl")*(Deckblatt!$C$14='WK-Vorlagen'!$C$82))+(Deckblatt!$C$14&lt;&gt;'WK-Vorlagen'!$C$82),"",IF(ISERROR(MATCH(VALUE(MID(H564,1,2)),Schwierigkeitsstufen!$G$7:$G$19,0)),"Gerät falsch",LOOKUP(VALUE(MID(H564,1,2)),Schwierigkeitsstufen!$G$7:$G$19,Schwierigkeitsstufen!$H$7:$H$19)))</f>
        <v/>
      </c>
      <c r="AC564" s="250" t="str">
        <f>IF((($A564="")*($B564=""))+((MID($Y564,1,4)&lt;&gt;"Wahl")*(Deckblatt!$C$14='WK-Vorlagen'!$C$82))+(Deckblatt!$C$14&lt;&gt;'WK-Vorlagen'!$C$82),"",IF(ISERROR(MATCH(VALUE(MID(I564,1,2)),Schwierigkeitsstufen!$G$7:$G$19,0)),"Gerät falsch",LOOKUP(VALUE(MID(I564,1,2)),Schwierigkeitsstufen!$G$7:$G$19,Schwierigkeitsstufen!$H$7:$H$19)))</f>
        <v/>
      </c>
      <c r="AD564" s="251" t="str">
        <f>IF((($A564="")*($B564=""))+((MID($Y564,1,4)&lt;&gt;"Wahl")*(Deckblatt!$C$14='WK-Vorlagen'!$C$82))+(Deckblatt!$C$14&lt;&gt;'WK-Vorlagen'!$C$82),"",IF(ISERROR(MATCH(VALUE(MID(J564,1,2)),Schwierigkeitsstufen!$G$7:$G$19,0)),"Gerät falsch",LOOKUP(VALUE(MID(J564,1,2)),Schwierigkeitsstufen!$G$7:$G$19,Schwierigkeitsstufen!$H$7:$H$19)))</f>
        <v/>
      </c>
      <c r="AE564" s="211"/>
      <c r="AG564" s="221" t="str">
        <f t="shared" si="72"/>
        <v/>
      </c>
      <c r="AH564" s="222" t="str">
        <f t="shared" si="74"/>
        <v/>
      </c>
      <c r="AI564" s="220">
        <f t="shared" si="79"/>
        <v>4</v>
      </c>
      <c r="AJ564" s="222">
        <f t="shared" si="75"/>
        <v>0</v>
      </c>
      <c r="AK564" s="299" t="str">
        <f>IF(ISERROR(LOOKUP(E564,WKNrListe,Übersicht!$R$7:$R$46)),"-",LOOKUP(E564,WKNrListe,Übersicht!$R$7:$R$46))</f>
        <v>-</v>
      </c>
      <c r="AL564" s="299" t="str">
        <f t="shared" si="78"/>
        <v>-</v>
      </c>
      <c r="AM564" s="303"/>
      <c r="AN564" s="174" t="str">
        <f t="shared" si="80"/>
        <v>Leer</v>
      </c>
    </row>
    <row r="565" spans="1:40" s="174" customFormat="1" ht="15" customHeight="1">
      <c r="A565" s="63"/>
      <c r="B565" s="63"/>
      <c r="C565" s="84"/>
      <c r="D565" s="85"/>
      <c r="E565" s="62"/>
      <c r="F565" s="62"/>
      <c r="G565" s="62"/>
      <c r="H565" s="62"/>
      <c r="I565" s="62"/>
      <c r="J565" s="62"/>
      <c r="K565" s="62"/>
      <c r="L565" s="62"/>
      <c r="M565" s="62"/>
      <c r="N565" s="62"/>
      <c r="O565" s="62"/>
      <c r="P565" s="62"/>
      <c r="Q565" s="62"/>
      <c r="R565" s="62"/>
      <c r="S565" s="258"/>
      <c r="T565" s="248" t="str">
        <f t="shared" si="76"/>
        <v/>
      </c>
      <c r="U565" s="249" t="str">
        <f t="shared" si="77"/>
        <v/>
      </c>
      <c r="V565" s="294" t="str">
        <f t="shared" si="73"/>
        <v/>
      </c>
      <c r="W565" s="294" t="str">
        <f>IF(((E565="")+(F565="")),"",IF(VLOOKUP(F565,Mannschaften!$A$1:$B$54,2,FALSE)&lt;&gt;E565,"Reiter Mannschaften füllen",""))</f>
        <v/>
      </c>
      <c r="X565" s="248" t="str">
        <f>IF(ISBLANK(C565),"",IF((U565&gt;(LOOKUP(E565,WKNrListe,Übersicht!$O$7:$O$46)))+(U565&lt;(LOOKUP(E565,WKNrListe,Übersicht!$P$7:$P$46))),"JG falsch",""))</f>
        <v/>
      </c>
      <c r="Y565" s="255" t="str">
        <f>IF((A565="")*(B565=""),"",IF(ISERROR(MATCH(E565,WKNrListe,0)),"WK falsch",LOOKUP(E565,WKNrListe,Übersicht!$B$7:$B$46)))</f>
        <v/>
      </c>
      <c r="Z565" s="269" t="str">
        <f>IF(((AJ565=0)*(AH565&lt;&gt;"")*(AK565="-"))+((AJ565&lt;&gt;0)*(AH565&lt;&gt;"")*(AK565="-")),IF(AG565="X",Übersicht!$C$70,Übersicht!$C$69),"-")</f>
        <v>-</v>
      </c>
      <c r="AA565" s="252" t="str">
        <f>IF((($A565="")*($B565=""))+((MID($Y565,1,4)&lt;&gt;"Wahl")*(Deckblatt!$C$14='WK-Vorlagen'!$C$82))+(Deckblatt!$C$14&lt;&gt;'WK-Vorlagen'!$C$82),"",IF(ISERROR(MATCH(VALUE(MID(G565,1,2)),Schwierigkeitsstufen!$G$7:$G$19,0)),"Gerät falsch",LOOKUP(VALUE(MID(G565,1,2)),Schwierigkeitsstufen!$G$7:$G$19,Schwierigkeitsstufen!$H$7:$H$19)))</f>
        <v/>
      </c>
      <c r="AB565" s="250" t="str">
        <f>IF((($A565="")*($B565=""))+((MID($Y565,1,4)&lt;&gt;"Wahl")*(Deckblatt!$C$14='WK-Vorlagen'!$C$82))+(Deckblatt!$C$14&lt;&gt;'WK-Vorlagen'!$C$82),"",IF(ISERROR(MATCH(VALUE(MID(H565,1,2)),Schwierigkeitsstufen!$G$7:$G$19,0)),"Gerät falsch",LOOKUP(VALUE(MID(H565,1,2)),Schwierigkeitsstufen!$G$7:$G$19,Schwierigkeitsstufen!$H$7:$H$19)))</f>
        <v/>
      </c>
      <c r="AC565" s="250" t="str">
        <f>IF((($A565="")*($B565=""))+((MID($Y565,1,4)&lt;&gt;"Wahl")*(Deckblatt!$C$14='WK-Vorlagen'!$C$82))+(Deckblatt!$C$14&lt;&gt;'WK-Vorlagen'!$C$82),"",IF(ISERROR(MATCH(VALUE(MID(I565,1,2)),Schwierigkeitsstufen!$G$7:$G$19,0)),"Gerät falsch",LOOKUP(VALUE(MID(I565,1,2)),Schwierigkeitsstufen!$G$7:$G$19,Schwierigkeitsstufen!$H$7:$H$19)))</f>
        <v/>
      </c>
      <c r="AD565" s="251" t="str">
        <f>IF((($A565="")*($B565=""))+((MID($Y565,1,4)&lt;&gt;"Wahl")*(Deckblatt!$C$14='WK-Vorlagen'!$C$82))+(Deckblatt!$C$14&lt;&gt;'WK-Vorlagen'!$C$82),"",IF(ISERROR(MATCH(VALUE(MID(J565,1,2)),Schwierigkeitsstufen!$G$7:$G$19,0)),"Gerät falsch",LOOKUP(VALUE(MID(J565,1,2)),Schwierigkeitsstufen!$G$7:$G$19,Schwierigkeitsstufen!$H$7:$H$19)))</f>
        <v/>
      </c>
      <c r="AE565" s="211"/>
      <c r="AG565" s="221" t="str">
        <f t="shared" si="72"/>
        <v/>
      </c>
      <c r="AH565" s="222" t="str">
        <f t="shared" si="74"/>
        <v/>
      </c>
      <c r="AI565" s="220">
        <f t="shared" si="79"/>
        <v>4</v>
      </c>
      <c r="AJ565" s="222">
        <f t="shared" si="75"/>
        <v>0</v>
      </c>
      <c r="AK565" s="299" t="str">
        <f>IF(ISERROR(LOOKUP(E565,WKNrListe,Übersicht!$R$7:$R$46)),"-",LOOKUP(E565,WKNrListe,Übersicht!$R$7:$R$46))</f>
        <v>-</v>
      </c>
      <c r="AL565" s="299" t="str">
        <f t="shared" si="78"/>
        <v>-</v>
      </c>
      <c r="AM565" s="303"/>
      <c r="AN565" s="174" t="str">
        <f t="shared" si="80"/>
        <v>Leer</v>
      </c>
    </row>
    <row r="566" spans="1:40" s="174" customFormat="1" ht="15" customHeight="1">
      <c r="A566" s="63"/>
      <c r="B566" s="63"/>
      <c r="C566" s="84"/>
      <c r="D566" s="85"/>
      <c r="E566" s="62"/>
      <c r="F566" s="62"/>
      <c r="G566" s="62"/>
      <c r="H566" s="62"/>
      <c r="I566" s="62"/>
      <c r="J566" s="62"/>
      <c r="K566" s="62"/>
      <c r="L566" s="62"/>
      <c r="M566" s="62"/>
      <c r="N566" s="62"/>
      <c r="O566" s="62"/>
      <c r="P566" s="62"/>
      <c r="Q566" s="62"/>
      <c r="R566" s="62"/>
      <c r="S566" s="258"/>
      <c r="T566" s="248" t="str">
        <f t="shared" si="76"/>
        <v/>
      </c>
      <c r="U566" s="249" t="str">
        <f t="shared" si="77"/>
        <v/>
      </c>
      <c r="V566" s="294" t="str">
        <f t="shared" si="73"/>
        <v/>
      </c>
      <c r="W566" s="294" t="str">
        <f>IF(((E566="")+(F566="")),"",IF(VLOOKUP(F566,Mannschaften!$A$1:$B$54,2,FALSE)&lt;&gt;E566,"Reiter Mannschaften füllen",""))</f>
        <v/>
      </c>
      <c r="X566" s="248" t="str">
        <f>IF(ISBLANK(C566),"",IF((U566&gt;(LOOKUP(E566,WKNrListe,Übersicht!$O$7:$O$46)))+(U566&lt;(LOOKUP(E566,WKNrListe,Übersicht!$P$7:$P$46))),"JG falsch",""))</f>
        <v/>
      </c>
      <c r="Y566" s="255" t="str">
        <f>IF((A566="")*(B566=""),"",IF(ISERROR(MATCH(E566,WKNrListe,0)),"WK falsch",LOOKUP(E566,WKNrListe,Übersicht!$B$7:$B$46)))</f>
        <v/>
      </c>
      <c r="Z566" s="269" t="str">
        <f>IF(((AJ566=0)*(AH566&lt;&gt;"")*(AK566="-"))+((AJ566&lt;&gt;0)*(AH566&lt;&gt;"")*(AK566="-")),IF(AG566="X",Übersicht!$C$70,Übersicht!$C$69),"-")</f>
        <v>-</v>
      </c>
      <c r="AA566" s="252" t="str">
        <f>IF((($A566="")*($B566=""))+((MID($Y566,1,4)&lt;&gt;"Wahl")*(Deckblatt!$C$14='WK-Vorlagen'!$C$82))+(Deckblatt!$C$14&lt;&gt;'WK-Vorlagen'!$C$82),"",IF(ISERROR(MATCH(VALUE(MID(G566,1,2)),Schwierigkeitsstufen!$G$7:$G$19,0)),"Gerät falsch",LOOKUP(VALUE(MID(G566,1,2)),Schwierigkeitsstufen!$G$7:$G$19,Schwierigkeitsstufen!$H$7:$H$19)))</f>
        <v/>
      </c>
      <c r="AB566" s="250" t="str">
        <f>IF((($A566="")*($B566=""))+((MID($Y566,1,4)&lt;&gt;"Wahl")*(Deckblatt!$C$14='WK-Vorlagen'!$C$82))+(Deckblatt!$C$14&lt;&gt;'WK-Vorlagen'!$C$82),"",IF(ISERROR(MATCH(VALUE(MID(H566,1,2)),Schwierigkeitsstufen!$G$7:$G$19,0)),"Gerät falsch",LOOKUP(VALUE(MID(H566,1,2)),Schwierigkeitsstufen!$G$7:$G$19,Schwierigkeitsstufen!$H$7:$H$19)))</f>
        <v/>
      </c>
      <c r="AC566" s="250" t="str">
        <f>IF((($A566="")*($B566=""))+((MID($Y566,1,4)&lt;&gt;"Wahl")*(Deckblatt!$C$14='WK-Vorlagen'!$C$82))+(Deckblatt!$C$14&lt;&gt;'WK-Vorlagen'!$C$82),"",IF(ISERROR(MATCH(VALUE(MID(I566,1,2)),Schwierigkeitsstufen!$G$7:$G$19,0)),"Gerät falsch",LOOKUP(VALUE(MID(I566,1,2)),Schwierigkeitsstufen!$G$7:$G$19,Schwierigkeitsstufen!$H$7:$H$19)))</f>
        <v/>
      </c>
      <c r="AD566" s="251" t="str">
        <f>IF((($A566="")*($B566=""))+((MID($Y566,1,4)&lt;&gt;"Wahl")*(Deckblatt!$C$14='WK-Vorlagen'!$C$82))+(Deckblatt!$C$14&lt;&gt;'WK-Vorlagen'!$C$82),"",IF(ISERROR(MATCH(VALUE(MID(J566,1,2)),Schwierigkeitsstufen!$G$7:$G$19,0)),"Gerät falsch",LOOKUP(VALUE(MID(J566,1,2)),Schwierigkeitsstufen!$G$7:$G$19,Schwierigkeitsstufen!$H$7:$H$19)))</f>
        <v/>
      </c>
      <c r="AE566" s="211"/>
      <c r="AG566" s="221" t="str">
        <f t="shared" si="72"/>
        <v/>
      </c>
      <c r="AH566" s="222" t="str">
        <f t="shared" si="74"/>
        <v/>
      </c>
      <c r="AI566" s="220">
        <f t="shared" si="79"/>
        <v>4</v>
      </c>
      <c r="AJ566" s="222">
        <f t="shared" si="75"/>
        <v>0</v>
      </c>
      <c r="AK566" s="299" t="str">
        <f>IF(ISERROR(LOOKUP(E566,WKNrListe,Übersicht!$R$7:$R$46)),"-",LOOKUP(E566,WKNrListe,Übersicht!$R$7:$R$46))</f>
        <v>-</v>
      </c>
      <c r="AL566" s="299" t="str">
        <f t="shared" si="78"/>
        <v>-</v>
      </c>
      <c r="AM566" s="303"/>
      <c r="AN566" s="174" t="str">
        <f t="shared" si="80"/>
        <v>Leer</v>
      </c>
    </row>
    <row r="567" spans="1:40" s="174" customFormat="1" ht="15" customHeight="1">
      <c r="A567" s="63"/>
      <c r="B567" s="63"/>
      <c r="C567" s="84"/>
      <c r="D567" s="85"/>
      <c r="E567" s="62"/>
      <c r="F567" s="62"/>
      <c r="G567" s="62"/>
      <c r="H567" s="62"/>
      <c r="I567" s="62"/>
      <c r="J567" s="62"/>
      <c r="K567" s="62"/>
      <c r="L567" s="62"/>
      <c r="M567" s="62"/>
      <c r="N567" s="62"/>
      <c r="O567" s="62"/>
      <c r="P567" s="62"/>
      <c r="Q567" s="62"/>
      <c r="R567" s="62"/>
      <c r="S567" s="258"/>
      <c r="T567" s="248" t="str">
        <f t="shared" si="76"/>
        <v/>
      </c>
      <c r="U567" s="249" t="str">
        <f t="shared" si="77"/>
        <v/>
      </c>
      <c r="V567" s="294" t="str">
        <f t="shared" si="73"/>
        <v/>
      </c>
      <c r="W567" s="294" t="str">
        <f>IF(((E567="")+(F567="")),"",IF(VLOOKUP(F567,Mannschaften!$A$1:$B$54,2,FALSE)&lt;&gt;E567,"Reiter Mannschaften füllen",""))</f>
        <v/>
      </c>
      <c r="X567" s="248" t="str">
        <f>IF(ISBLANK(C567),"",IF((U567&gt;(LOOKUP(E567,WKNrListe,Übersicht!$O$7:$O$46)))+(U567&lt;(LOOKUP(E567,WKNrListe,Übersicht!$P$7:$P$46))),"JG falsch",""))</f>
        <v/>
      </c>
      <c r="Y567" s="255" t="str">
        <f>IF((A567="")*(B567=""),"",IF(ISERROR(MATCH(E567,WKNrListe,0)),"WK falsch",LOOKUP(E567,WKNrListe,Übersicht!$B$7:$B$46)))</f>
        <v/>
      </c>
      <c r="Z567" s="269" t="str">
        <f>IF(((AJ567=0)*(AH567&lt;&gt;"")*(AK567="-"))+((AJ567&lt;&gt;0)*(AH567&lt;&gt;"")*(AK567="-")),IF(AG567="X",Übersicht!$C$70,Übersicht!$C$69),"-")</f>
        <v>-</v>
      </c>
      <c r="AA567" s="252" t="str">
        <f>IF((($A567="")*($B567=""))+((MID($Y567,1,4)&lt;&gt;"Wahl")*(Deckblatt!$C$14='WK-Vorlagen'!$C$82))+(Deckblatt!$C$14&lt;&gt;'WK-Vorlagen'!$C$82),"",IF(ISERROR(MATCH(VALUE(MID(G567,1,2)),Schwierigkeitsstufen!$G$7:$G$19,0)),"Gerät falsch",LOOKUP(VALUE(MID(G567,1,2)),Schwierigkeitsstufen!$G$7:$G$19,Schwierigkeitsstufen!$H$7:$H$19)))</f>
        <v/>
      </c>
      <c r="AB567" s="250" t="str">
        <f>IF((($A567="")*($B567=""))+((MID($Y567,1,4)&lt;&gt;"Wahl")*(Deckblatt!$C$14='WK-Vorlagen'!$C$82))+(Deckblatt!$C$14&lt;&gt;'WK-Vorlagen'!$C$82),"",IF(ISERROR(MATCH(VALUE(MID(H567,1,2)),Schwierigkeitsstufen!$G$7:$G$19,0)),"Gerät falsch",LOOKUP(VALUE(MID(H567,1,2)),Schwierigkeitsstufen!$G$7:$G$19,Schwierigkeitsstufen!$H$7:$H$19)))</f>
        <v/>
      </c>
      <c r="AC567" s="250" t="str">
        <f>IF((($A567="")*($B567=""))+((MID($Y567,1,4)&lt;&gt;"Wahl")*(Deckblatt!$C$14='WK-Vorlagen'!$C$82))+(Deckblatt!$C$14&lt;&gt;'WK-Vorlagen'!$C$82),"",IF(ISERROR(MATCH(VALUE(MID(I567,1,2)),Schwierigkeitsstufen!$G$7:$G$19,0)),"Gerät falsch",LOOKUP(VALUE(MID(I567,1,2)),Schwierigkeitsstufen!$G$7:$G$19,Schwierigkeitsstufen!$H$7:$H$19)))</f>
        <v/>
      </c>
      <c r="AD567" s="251" t="str">
        <f>IF((($A567="")*($B567=""))+((MID($Y567,1,4)&lt;&gt;"Wahl")*(Deckblatt!$C$14='WK-Vorlagen'!$C$82))+(Deckblatt!$C$14&lt;&gt;'WK-Vorlagen'!$C$82),"",IF(ISERROR(MATCH(VALUE(MID(J567,1,2)),Schwierigkeitsstufen!$G$7:$G$19,0)),"Gerät falsch",LOOKUP(VALUE(MID(J567,1,2)),Schwierigkeitsstufen!$G$7:$G$19,Schwierigkeitsstufen!$H$7:$H$19)))</f>
        <v/>
      </c>
      <c r="AE567" s="211"/>
      <c r="AG567" s="221" t="str">
        <f t="shared" si="72"/>
        <v/>
      </c>
      <c r="AH567" s="222" t="str">
        <f t="shared" si="74"/>
        <v/>
      </c>
      <c r="AI567" s="220">
        <f t="shared" si="79"/>
        <v>4</v>
      </c>
      <c r="AJ567" s="222">
        <f t="shared" si="75"/>
        <v>0</v>
      </c>
      <c r="AK567" s="299" t="str">
        <f>IF(ISERROR(LOOKUP(E567,WKNrListe,Übersicht!$R$7:$R$46)),"-",LOOKUP(E567,WKNrListe,Übersicht!$R$7:$R$46))</f>
        <v>-</v>
      </c>
      <c r="AL567" s="299" t="str">
        <f t="shared" si="78"/>
        <v>-</v>
      </c>
      <c r="AM567" s="303"/>
      <c r="AN567" s="174" t="str">
        <f t="shared" si="80"/>
        <v>Leer</v>
      </c>
    </row>
    <row r="568" spans="1:40" s="174" customFormat="1" ht="15" customHeight="1">
      <c r="A568" s="63"/>
      <c r="B568" s="63"/>
      <c r="C568" s="84"/>
      <c r="D568" s="85"/>
      <c r="E568" s="62"/>
      <c r="F568" s="62"/>
      <c r="G568" s="62"/>
      <c r="H568" s="62"/>
      <c r="I568" s="62"/>
      <c r="J568" s="62"/>
      <c r="K568" s="62"/>
      <c r="L568" s="62"/>
      <c r="M568" s="62"/>
      <c r="N568" s="62"/>
      <c r="O568" s="62"/>
      <c r="P568" s="62"/>
      <c r="Q568" s="62"/>
      <c r="R568" s="62"/>
      <c r="S568" s="258"/>
      <c r="T568" s="248" t="str">
        <f t="shared" si="76"/>
        <v/>
      </c>
      <c r="U568" s="249" t="str">
        <f t="shared" si="77"/>
        <v/>
      </c>
      <c r="V568" s="294" t="str">
        <f t="shared" si="73"/>
        <v/>
      </c>
      <c r="W568" s="294" t="str">
        <f>IF(((E568="")+(F568="")),"",IF(VLOOKUP(F568,Mannschaften!$A$1:$B$54,2,FALSE)&lt;&gt;E568,"Reiter Mannschaften füllen",""))</f>
        <v/>
      </c>
      <c r="X568" s="248" t="str">
        <f>IF(ISBLANK(C568),"",IF((U568&gt;(LOOKUP(E568,WKNrListe,Übersicht!$O$7:$O$46)))+(U568&lt;(LOOKUP(E568,WKNrListe,Übersicht!$P$7:$P$46))),"JG falsch",""))</f>
        <v/>
      </c>
      <c r="Y568" s="255" t="str">
        <f>IF((A568="")*(B568=""),"",IF(ISERROR(MATCH(E568,WKNrListe,0)),"WK falsch",LOOKUP(E568,WKNrListe,Übersicht!$B$7:$B$46)))</f>
        <v/>
      </c>
      <c r="Z568" s="269" t="str">
        <f>IF(((AJ568=0)*(AH568&lt;&gt;"")*(AK568="-"))+((AJ568&lt;&gt;0)*(AH568&lt;&gt;"")*(AK568="-")),IF(AG568="X",Übersicht!$C$70,Übersicht!$C$69),"-")</f>
        <v>-</v>
      </c>
      <c r="AA568" s="252" t="str">
        <f>IF((($A568="")*($B568=""))+((MID($Y568,1,4)&lt;&gt;"Wahl")*(Deckblatt!$C$14='WK-Vorlagen'!$C$82))+(Deckblatt!$C$14&lt;&gt;'WK-Vorlagen'!$C$82),"",IF(ISERROR(MATCH(VALUE(MID(G568,1,2)),Schwierigkeitsstufen!$G$7:$G$19,0)),"Gerät falsch",LOOKUP(VALUE(MID(G568,1,2)),Schwierigkeitsstufen!$G$7:$G$19,Schwierigkeitsstufen!$H$7:$H$19)))</f>
        <v/>
      </c>
      <c r="AB568" s="250" t="str">
        <f>IF((($A568="")*($B568=""))+((MID($Y568,1,4)&lt;&gt;"Wahl")*(Deckblatt!$C$14='WK-Vorlagen'!$C$82))+(Deckblatt!$C$14&lt;&gt;'WK-Vorlagen'!$C$82),"",IF(ISERROR(MATCH(VALUE(MID(H568,1,2)),Schwierigkeitsstufen!$G$7:$G$19,0)),"Gerät falsch",LOOKUP(VALUE(MID(H568,1,2)),Schwierigkeitsstufen!$G$7:$G$19,Schwierigkeitsstufen!$H$7:$H$19)))</f>
        <v/>
      </c>
      <c r="AC568" s="250" t="str">
        <f>IF((($A568="")*($B568=""))+((MID($Y568,1,4)&lt;&gt;"Wahl")*(Deckblatt!$C$14='WK-Vorlagen'!$C$82))+(Deckblatt!$C$14&lt;&gt;'WK-Vorlagen'!$C$82),"",IF(ISERROR(MATCH(VALUE(MID(I568,1,2)),Schwierigkeitsstufen!$G$7:$G$19,0)),"Gerät falsch",LOOKUP(VALUE(MID(I568,1,2)),Schwierigkeitsstufen!$G$7:$G$19,Schwierigkeitsstufen!$H$7:$H$19)))</f>
        <v/>
      </c>
      <c r="AD568" s="251" t="str">
        <f>IF((($A568="")*($B568=""))+((MID($Y568,1,4)&lt;&gt;"Wahl")*(Deckblatt!$C$14='WK-Vorlagen'!$C$82))+(Deckblatt!$C$14&lt;&gt;'WK-Vorlagen'!$C$82),"",IF(ISERROR(MATCH(VALUE(MID(J568,1,2)),Schwierigkeitsstufen!$G$7:$G$19,0)),"Gerät falsch",LOOKUP(VALUE(MID(J568,1,2)),Schwierigkeitsstufen!$G$7:$G$19,Schwierigkeitsstufen!$H$7:$H$19)))</f>
        <v/>
      </c>
      <c r="AE568" s="211"/>
      <c r="AG568" s="221" t="str">
        <f t="shared" si="72"/>
        <v/>
      </c>
      <c r="AH568" s="222" t="str">
        <f t="shared" si="74"/>
        <v/>
      </c>
      <c r="AI568" s="220">
        <f t="shared" si="79"/>
        <v>4</v>
      </c>
      <c r="AJ568" s="222">
        <f t="shared" si="75"/>
        <v>0</v>
      </c>
      <c r="AK568" s="299" t="str">
        <f>IF(ISERROR(LOOKUP(E568,WKNrListe,Übersicht!$R$7:$R$46)),"-",LOOKUP(E568,WKNrListe,Übersicht!$R$7:$R$46))</f>
        <v>-</v>
      </c>
      <c r="AL568" s="299" t="str">
        <f t="shared" si="78"/>
        <v>-</v>
      </c>
      <c r="AM568" s="303"/>
      <c r="AN568" s="174" t="str">
        <f t="shared" si="80"/>
        <v>Leer</v>
      </c>
    </row>
    <row r="569" spans="1:40" s="174" customFormat="1" ht="15" customHeight="1">
      <c r="A569" s="63"/>
      <c r="B569" s="63"/>
      <c r="C569" s="84"/>
      <c r="D569" s="85"/>
      <c r="E569" s="62"/>
      <c r="F569" s="62"/>
      <c r="G569" s="62"/>
      <c r="H569" s="62"/>
      <c r="I569" s="62"/>
      <c r="J569" s="62"/>
      <c r="K569" s="62"/>
      <c r="L569" s="62"/>
      <c r="M569" s="62"/>
      <c r="N569" s="62"/>
      <c r="O569" s="62"/>
      <c r="P569" s="62"/>
      <c r="Q569" s="62"/>
      <c r="R569" s="62"/>
      <c r="S569" s="258"/>
      <c r="T569" s="248" t="str">
        <f t="shared" si="76"/>
        <v/>
      </c>
      <c r="U569" s="249" t="str">
        <f t="shared" si="77"/>
        <v/>
      </c>
      <c r="V569" s="294" t="str">
        <f t="shared" si="73"/>
        <v/>
      </c>
      <c r="W569" s="294" t="str">
        <f>IF(((E569="")+(F569="")),"",IF(VLOOKUP(F569,Mannschaften!$A$1:$B$54,2,FALSE)&lt;&gt;E569,"Reiter Mannschaften füllen",""))</f>
        <v/>
      </c>
      <c r="X569" s="248" t="str">
        <f>IF(ISBLANK(C569),"",IF((U569&gt;(LOOKUP(E569,WKNrListe,Übersicht!$O$7:$O$46)))+(U569&lt;(LOOKUP(E569,WKNrListe,Übersicht!$P$7:$P$46))),"JG falsch",""))</f>
        <v/>
      </c>
      <c r="Y569" s="255" t="str">
        <f>IF((A569="")*(B569=""),"",IF(ISERROR(MATCH(E569,WKNrListe,0)),"WK falsch",LOOKUP(E569,WKNrListe,Übersicht!$B$7:$B$46)))</f>
        <v/>
      </c>
      <c r="Z569" s="269" t="str">
        <f>IF(((AJ569=0)*(AH569&lt;&gt;"")*(AK569="-"))+((AJ569&lt;&gt;0)*(AH569&lt;&gt;"")*(AK569="-")),IF(AG569="X",Übersicht!$C$70,Übersicht!$C$69),"-")</f>
        <v>-</v>
      </c>
      <c r="AA569" s="252" t="str">
        <f>IF((($A569="")*($B569=""))+((MID($Y569,1,4)&lt;&gt;"Wahl")*(Deckblatt!$C$14='WK-Vorlagen'!$C$82))+(Deckblatt!$C$14&lt;&gt;'WK-Vorlagen'!$C$82),"",IF(ISERROR(MATCH(VALUE(MID(G569,1,2)),Schwierigkeitsstufen!$G$7:$G$19,0)),"Gerät falsch",LOOKUP(VALUE(MID(G569,1,2)),Schwierigkeitsstufen!$G$7:$G$19,Schwierigkeitsstufen!$H$7:$H$19)))</f>
        <v/>
      </c>
      <c r="AB569" s="250" t="str">
        <f>IF((($A569="")*($B569=""))+((MID($Y569,1,4)&lt;&gt;"Wahl")*(Deckblatt!$C$14='WK-Vorlagen'!$C$82))+(Deckblatt!$C$14&lt;&gt;'WK-Vorlagen'!$C$82),"",IF(ISERROR(MATCH(VALUE(MID(H569,1,2)),Schwierigkeitsstufen!$G$7:$G$19,0)),"Gerät falsch",LOOKUP(VALUE(MID(H569,1,2)),Schwierigkeitsstufen!$G$7:$G$19,Schwierigkeitsstufen!$H$7:$H$19)))</f>
        <v/>
      </c>
      <c r="AC569" s="250" t="str">
        <f>IF((($A569="")*($B569=""))+((MID($Y569,1,4)&lt;&gt;"Wahl")*(Deckblatt!$C$14='WK-Vorlagen'!$C$82))+(Deckblatt!$C$14&lt;&gt;'WK-Vorlagen'!$C$82),"",IF(ISERROR(MATCH(VALUE(MID(I569,1,2)),Schwierigkeitsstufen!$G$7:$G$19,0)),"Gerät falsch",LOOKUP(VALUE(MID(I569,1,2)),Schwierigkeitsstufen!$G$7:$G$19,Schwierigkeitsstufen!$H$7:$H$19)))</f>
        <v/>
      </c>
      <c r="AD569" s="251" t="str">
        <f>IF((($A569="")*($B569=""))+((MID($Y569,1,4)&lt;&gt;"Wahl")*(Deckblatt!$C$14='WK-Vorlagen'!$C$82))+(Deckblatt!$C$14&lt;&gt;'WK-Vorlagen'!$C$82),"",IF(ISERROR(MATCH(VALUE(MID(J569,1,2)),Schwierigkeitsstufen!$G$7:$G$19,0)),"Gerät falsch",LOOKUP(VALUE(MID(J569,1,2)),Schwierigkeitsstufen!$G$7:$G$19,Schwierigkeitsstufen!$H$7:$H$19)))</f>
        <v/>
      </c>
      <c r="AE569" s="211"/>
      <c r="AG569" s="221" t="str">
        <f t="shared" si="72"/>
        <v/>
      </c>
      <c r="AH569" s="222" t="str">
        <f t="shared" si="74"/>
        <v/>
      </c>
      <c r="AI569" s="220">
        <f t="shared" si="79"/>
        <v>4</v>
      </c>
      <c r="AJ569" s="222">
        <f t="shared" si="75"/>
        <v>0</v>
      </c>
      <c r="AK569" s="299" t="str">
        <f>IF(ISERROR(LOOKUP(E569,WKNrListe,Übersicht!$R$7:$R$46)),"-",LOOKUP(E569,WKNrListe,Übersicht!$R$7:$R$46))</f>
        <v>-</v>
      </c>
      <c r="AL569" s="299" t="str">
        <f t="shared" si="78"/>
        <v>-</v>
      </c>
      <c r="AM569" s="303"/>
      <c r="AN569" s="174" t="str">
        <f t="shared" si="80"/>
        <v>Leer</v>
      </c>
    </row>
    <row r="570" spans="1:40" s="174" customFormat="1" ht="15" customHeight="1">
      <c r="A570" s="63"/>
      <c r="B570" s="63"/>
      <c r="C570" s="84"/>
      <c r="D570" s="85"/>
      <c r="E570" s="62"/>
      <c r="F570" s="62"/>
      <c r="G570" s="62"/>
      <c r="H570" s="62"/>
      <c r="I570" s="62"/>
      <c r="J570" s="62"/>
      <c r="K570" s="62"/>
      <c r="L570" s="62"/>
      <c r="M570" s="62"/>
      <c r="N570" s="62"/>
      <c r="O570" s="62"/>
      <c r="P570" s="62"/>
      <c r="Q570" s="62"/>
      <c r="R570" s="62"/>
      <c r="S570" s="258"/>
      <c r="T570" s="248" t="str">
        <f t="shared" si="76"/>
        <v/>
      </c>
      <c r="U570" s="249" t="str">
        <f t="shared" si="77"/>
        <v/>
      </c>
      <c r="V570" s="294" t="str">
        <f t="shared" si="73"/>
        <v/>
      </c>
      <c r="W570" s="294" t="str">
        <f>IF(((E570="")+(F570="")),"",IF(VLOOKUP(F570,Mannschaften!$A$1:$B$54,2,FALSE)&lt;&gt;E570,"Reiter Mannschaften füllen",""))</f>
        <v/>
      </c>
      <c r="X570" s="248" t="str">
        <f>IF(ISBLANK(C570),"",IF((U570&gt;(LOOKUP(E570,WKNrListe,Übersicht!$O$7:$O$46)))+(U570&lt;(LOOKUP(E570,WKNrListe,Übersicht!$P$7:$P$46))),"JG falsch",""))</f>
        <v/>
      </c>
      <c r="Y570" s="255" t="str">
        <f>IF((A570="")*(B570=""),"",IF(ISERROR(MATCH(E570,WKNrListe,0)),"WK falsch",LOOKUP(E570,WKNrListe,Übersicht!$B$7:$B$46)))</f>
        <v/>
      </c>
      <c r="Z570" s="269" t="str">
        <f>IF(((AJ570=0)*(AH570&lt;&gt;"")*(AK570="-"))+((AJ570&lt;&gt;0)*(AH570&lt;&gt;"")*(AK570="-")),IF(AG570="X",Übersicht!$C$70,Übersicht!$C$69),"-")</f>
        <v>-</v>
      </c>
      <c r="AA570" s="252" t="str">
        <f>IF((($A570="")*($B570=""))+((MID($Y570,1,4)&lt;&gt;"Wahl")*(Deckblatt!$C$14='WK-Vorlagen'!$C$82))+(Deckblatt!$C$14&lt;&gt;'WK-Vorlagen'!$C$82),"",IF(ISERROR(MATCH(VALUE(MID(G570,1,2)),Schwierigkeitsstufen!$G$7:$G$19,0)),"Gerät falsch",LOOKUP(VALUE(MID(G570,1,2)),Schwierigkeitsstufen!$G$7:$G$19,Schwierigkeitsstufen!$H$7:$H$19)))</f>
        <v/>
      </c>
      <c r="AB570" s="250" t="str">
        <f>IF((($A570="")*($B570=""))+((MID($Y570,1,4)&lt;&gt;"Wahl")*(Deckblatt!$C$14='WK-Vorlagen'!$C$82))+(Deckblatt!$C$14&lt;&gt;'WK-Vorlagen'!$C$82),"",IF(ISERROR(MATCH(VALUE(MID(H570,1,2)),Schwierigkeitsstufen!$G$7:$G$19,0)),"Gerät falsch",LOOKUP(VALUE(MID(H570,1,2)),Schwierigkeitsstufen!$G$7:$G$19,Schwierigkeitsstufen!$H$7:$H$19)))</f>
        <v/>
      </c>
      <c r="AC570" s="250" t="str">
        <f>IF((($A570="")*($B570=""))+((MID($Y570,1,4)&lt;&gt;"Wahl")*(Deckblatt!$C$14='WK-Vorlagen'!$C$82))+(Deckblatt!$C$14&lt;&gt;'WK-Vorlagen'!$C$82),"",IF(ISERROR(MATCH(VALUE(MID(I570,1,2)),Schwierigkeitsstufen!$G$7:$G$19,0)),"Gerät falsch",LOOKUP(VALUE(MID(I570,1,2)),Schwierigkeitsstufen!$G$7:$G$19,Schwierigkeitsstufen!$H$7:$H$19)))</f>
        <v/>
      </c>
      <c r="AD570" s="251" t="str">
        <f>IF((($A570="")*($B570=""))+((MID($Y570,1,4)&lt;&gt;"Wahl")*(Deckblatt!$C$14='WK-Vorlagen'!$C$82))+(Deckblatt!$C$14&lt;&gt;'WK-Vorlagen'!$C$82),"",IF(ISERROR(MATCH(VALUE(MID(J570,1,2)),Schwierigkeitsstufen!$G$7:$G$19,0)),"Gerät falsch",LOOKUP(VALUE(MID(J570,1,2)),Schwierigkeitsstufen!$G$7:$G$19,Schwierigkeitsstufen!$H$7:$H$19)))</f>
        <v/>
      </c>
      <c r="AE570" s="211"/>
      <c r="AG570" s="221" t="str">
        <f t="shared" si="72"/>
        <v/>
      </c>
      <c r="AH570" s="222" t="str">
        <f t="shared" si="74"/>
        <v/>
      </c>
      <c r="AI570" s="220">
        <f t="shared" si="79"/>
        <v>4</v>
      </c>
      <c r="AJ570" s="222">
        <f t="shared" si="75"/>
        <v>0</v>
      </c>
      <c r="AK570" s="299" t="str">
        <f>IF(ISERROR(LOOKUP(E570,WKNrListe,Übersicht!$R$7:$R$46)),"-",LOOKUP(E570,WKNrListe,Übersicht!$R$7:$R$46))</f>
        <v>-</v>
      </c>
      <c r="AL570" s="299" t="str">
        <f t="shared" si="78"/>
        <v>-</v>
      </c>
      <c r="AM570" s="303"/>
      <c r="AN570" s="174" t="str">
        <f t="shared" si="80"/>
        <v>Leer</v>
      </c>
    </row>
    <row r="571" spans="1:40" s="174" customFormat="1" ht="15" customHeight="1">
      <c r="A571" s="63"/>
      <c r="B571" s="63"/>
      <c r="C571" s="84"/>
      <c r="D571" s="85"/>
      <c r="E571" s="62"/>
      <c r="F571" s="62"/>
      <c r="G571" s="62"/>
      <c r="H571" s="62"/>
      <c r="I571" s="62"/>
      <c r="J571" s="62"/>
      <c r="K571" s="62"/>
      <c r="L571" s="62"/>
      <c r="M571" s="62"/>
      <c r="N571" s="62"/>
      <c r="O571" s="62"/>
      <c r="P571" s="62"/>
      <c r="Q571" s="62"/>
      <c r="R571" s="62"/>
      <c r="S571" s="258"/>
      <c r="T571" s="248" t="str">
        <f t="shared" si="76"/>
        <v/>
      </c>
      <c r="U571" s="249" t="str">
        <f t="shared" si="77"/>
        <v/>
      </c>
      <c r="V571" s="294" t="str">
        <f t="shared" si="73"/>
        <v/>
      </c>
      <c r="W571" s="294" t="str">
        <f>IF(((E571="")+(F571="")),"",IF(VLOOKUP(F571,Mannschaften!$A$1:$B$54,2,FALSE)&lt;&gt;E571,"Reiter Mannschaften füllen",""))</f>
        <v/>
      </c>
      <c r="X571" s="248" t="str">
        <f>IF(ISBLANK(C571),"",IF((U571&gt;(LOOKUP(E571,WKNrListe,Übersicht!$O$7:$O$46)))+(U571&lt;(LOOKUP(E571,WKNrListe,Übersicht!$P$7:$P$46))),"JG falsch",""))</f>
        <v/>
      </c>
      <c r="Y571" s="255" t="str">
        <f>IF((A571="")*(B571=""),"",IF(ISERROR(MATCH(E571,WKNrListe,0)),"WK falsch",LOOKUP(E571,WKNrListe,Übersicht!$B$7:$B$46)))</f>
        <v/>
      </c>
      <c r="Z571" s="269" t="str">
        <f>IF(((AJ571=0)*(AH571&lt;&gt;"")*(AK571="-"))+((AJ571&lt;&gt;0)*(AH571&lt;&gt;"")*(AK571="-")),IF(AG571="X",Übersicht!$C$70,Übersicht!$C$69),"-")</f>
        <v>-</v>
      </c>
      <c r="AA571" s="252" t="str">
        <f>IF((($A571="")*($B571=""))+((MID($Y571,1,4)&lt;&gt;"Wahl")*(Deckblatt!$C$14='WK-Vorlagen'!$C$82))+(Deckblatt!$C$14&lt;&gt;'WK-Vorlagen'!$C$82),"",IF(ISERROR(MATCH(VALUE(MID(G571,1,2)),Schwierigkeitsstufen!$G$7:$G$19,0)),"Gerät falsch",LOOKUP(VALUE(MID(G571,1,2)),Schwierigkeitsstufen!$G$7:$G$19,Schwierigkeitsstufen!$H$7:$H$19)))</f>
        <v/>
      </c>
      <c r="AB571" s="250" t="str">
        <f>IF((($A571="")*($B571=""))+((MID($Y571,1,4)&lt;&gt;"Wahl")*(Deckblatt!$C$14='WK-Vorlagen'!$C$82))+(Deckblatt!$C$14&lt;&gt;'WK-Vorlagen'!$C$82),"",IF(ISERROR(MATCH(VALUE(MID(H571,1,2)),Schwierigkeitsstufen!$G$7:$G$19,0)),"Gerät falsch",LOOKUP(VALUE(MID(H571,1,2)),Schwierigkeitsstufen!$G$7:$G$19,Schwierigkeitsstufen!$H$7:$H$19)))</f>
        <v/>
      </c>
      <c r="AC571" s="250" t="str">
        <f>IF((($A571="")*($B571=""))+((MID($Y571,1,4)&lt;&gt;"Wahl")*(Deckblatt!$C$14='WK-Vorlagen'!$C$82))+(Deckblatt!$C$14&lt;&gt;'WK-Vorlagen'!$C$82),"",IF(ISERROR(MATCH(VALUE(MID(I571,1,2)),Schwierigkeitsstufen!$G$7:$G$19,0)),"Gerät falsch",LOOKUP(VALUE(MID(I571,1,2)),Schwierigkeitsstufen!$G$7:$G$19,Schwierigkeitsstufen!$H$7:$H$19)))</f>
        <v/>
      </c>
      <c r="AD571" s="251" t="str">
        <f>IF((($A571="")*($B571=""))+((MID($Y571,1,4)&lt;&gt;"Wahl")*(Deckblatt!$C$14='WK-Vorlagen'!$C$82))+(Deckblatt!$C$14&lt;&gt;'WK-Vorlagen'!$C$82),"",IF(ISERROR(MATCH(VALUE(MID(J571,1,2)),Schwierigkeitsstufen!$G$7:$G$19,0)),"Gerät falsch",LOOKUP(VALUE(MID(J571,1,2)),Schwierigkeitsstufen!$G$7:$G$19,Schwierigkeitsstufen!$H$7:$H$19)))</f>
        <v/>
      </c>
      <c r="AE571" s="211"/>
      <c r="AG571" s="221" t="str">
        <f t="shared" si="72"/>
        <v/>
      </c>
      <c r="AH571" s="222" t="str">
        <f t="shared" si="74"/>
        <v/>
      </c>
      <c r="AI571" s="220">
        <f t="shared" si="79"/>
        <v>4</v>
      </c>
      <c r="AJ571" s="222">
        <f t="shared" si="75"/>
        <v>0</v>
      </c>
      <c r="AK571" s="299" t="str">
        <f>IF(ISERROR(LOOKUP(E571,WKNrListe,Übersicht!$R$7:$R$46)),"-",LOOKUP(E571,WKNrListe,Übersicht!$R$7:$R$46))</f>
        <v>-</v>
      </c>
      <c r="AL571" s="299" t="str">
        <f t="shared" si="78"/>
        <v>-</v>
      </c>
      <c r="AM571" s="303"/>
      <c r="AN571" s="174" t="str">
        <f t="shared" si="80"/>
        <v>Leer</v>
      </c>
    </row>
    <row r="572" spans="1:40" s="174" customFormat="1" ht="15" customHeight="1">
      <c r="A572" s="63"/>
      <c r="B572" s="63"/>
      <c r="C572" s="84"/>
      <c r="D572" s="85"/>
      <c r="E572" s="62"/>
      <c r="F572" s="62"/>
      <c r="G572" s="62"/>
      <c r="H572" s="62"/>
      <c r="I572" s="62"/>
      <c r="J572" s="62"/>
      <c r="K572" s="62"/>
      <c r="L572" s="62"/>
      <c r="M572" s="62"/>
      <c r="N572" s="62"/>
      <c r="O572" s="62"/>
      <c r="P572" s="62"/>
      <c r="Q572" s="62"/>
      <c r="R572" s="62"/>
      <c r="S572" s="258"/>
      <c r="T572" s="248" t="str">
        <f t="shared" si="76"/>
        <v/>
      </c>
      <c r="U572" s="249" t="str">
        <f t="shared" si="77"/>
        <v/>
      </c>
      <c r="V572" s="294" t="str">
        <f t="shared" si="73"/>
        <v/>
      </c>
      <c r="W572" s="294" t="str">
        <f>IF(((E572="")+(F572="")),"",IF(VLOOKUP(F572,Mannschaften!$A$1:$B$54,2,FALSE)&lt;&gt;E572,"Reiter Mannschaften füllen",""))</f>
        <v/>
      </c>
      <c r="X572" s="248" t="str">
        <f>IF(ISBLANK(C572),"",IF((U572&gt;(LOOKUP(E572,WKNrListe,Übersicht!$O$7:$O$46)))+(U572&lt;(LOOKUP(E572,WKNrListe,Übersicht!$P$7:$P$46))),"JG falsch",""))</f>
        <v/>
      </c>
      <c r="Y572" s="255" t="str">
        <f>IF((A572="")*(B572=""),"",IF(ISERROR(MATCH(E572,WKNrListe,0)),"WK falsch",LOOKUP(E572,WKNrListe,Übersicht!$B$7:$B$46)))</f>
        <v/>
      </c>
      <c r="Z572" s="269" t="str">
        <f>IF(((AJ572=0)*(AH572&lt;&gt;"")*(AK572="-"))+((AJ572&lt;&gt;0)*(AH572&lt;&gt;"")*(AK572="-")),IF(AG572="X",Übersicht!$C$70,Übersicht!$C$69),"-")</f>
        <v>-</v>
      </c>
      <c r="AA572" s="252" t="str">
        <f>IF((($A572="")*($B572=""))+((MID($Y572,1,4)&lt;&gt;"Wahl")*(Deckblatt!$C$14='WK-Vorlagen'!$C$82))+(Deckblatt!$C$14&lt;&gt;'WK-Vorlagen'!$C$82),"",IF(ISERROR(MATCH(VALUE(MID(G572,1,2)),Schwierigkeitsstufen!$G$7:$G$19,0)),"Gerät falsch",LOOKUP(VALUE(MID(G572,1,2)),Schwierigkeitsstufen!$G$7:$G$19,Schwierigkeitsstufen!$H$7:$H$19)))</f>
        <v/>
      </c>
      <c r="AB572" s="250" t="str">
        <f>IF((($A572="")*($B572=""))+((MID($Y572,1,4)&lt;&gt;"Wahl")*(Deckblatt!$C$14='WK-Vorlagen'!$C$82))+(Deckblatt!$C$14&lt;&gt;'WK-Vorlagen'!$C$82),"",IF(ISERROR(MATCH(VALUE(MID(H572,1,2)),Schwierigkeitsstufen!$G$7:$G$19,0)),"Gerät falsch",LOOKUP(VALUE(MID(H572,1,2)),Schwierigkeitsstufen!$G$7:$G$19,Schwierigkeitsstufen!$H$7:$H$19)))</f>
        <v/>
      </c>
      <c r="AC572" s="250" t="str">
        <f>IF((($A572="")*($B572=""))+((MID($Y572,1,4)&lt;&gt;"Wahl")*(Deckblatt!$C$14='WK-Vorlagen'!$C$82))+(Deckblatt!$C$14&lt;&gt;'WK-Vorlagen'!$C$82),"",IF(ISERROR(MATCH(VALUE(MID(I572,1,2)),Schwierigkeitsstufen!$G$7:$G$19,0)),"Gerät falsch",LOOKUP(VALUE(MID(I572,1,2)),Schwierigkeitsstufen!$G$7:$G$19,Schwierigkeitsstufen!$H$7:$H$19)))</f>
        <v/>
      </c>
      <c r="AD572" s="251" t="str">
        <f>IF((($A572="")*($B572=""))+((MID($Y572,1,4)&lt;&gt;"Wahl")*(Deckblatt!$C$14='WK-Vorlagen'!$C$82))+(Deckblatt!$C$14&lt;&gt;'WK-Vorlagen'!$C$82),"",IF(ISERROR(MATCH(VALUE(MID(J572,1,2)),Schwierigkeitsstufen!$G$7:$G$19,0)),"Gerät falsch",LOOKUP(VALUE(MID(J572,1,2)),Schwierigkeitsstufen!$G$7:$G$19,Schwierigkeitsstufen!$H$7:$H$19)))</f>
        <v/>
      </c>
      <c r="AE572" s="211"/>
      <c r="AG572" s="221" t="str">
        <f t="shared" si="72"/>
        <v/>
      </c>
      <c r="AH572" s="222" t="str">
        <f t="shared" si="74"/>
        <v/>
      </c>
      <c r="AI572" s="220">
        <f t="shared" si="79"/>
        <v>4</v>
      </c>
      <c r="AJ572" s="222">
        <f t="shared" si="75"/>
        <v>0</v>
      </c>
      <c r="AK572" s="299" t="str">
        <f>IF(ISERROR(LOOKUP(E572,WKNrListe,Übersicht!$R$7:$R$46)),"-",LOOKUP(E572,WKNrListe,Übersicht!$R$7:$R$46))</f>
        <v>-</v>
      </c>
      <c r="AL572" s="299" t="str">
        <f t="shared" si="78"/>
        <v>-</v>
      </c>
      <c r="AM572" s="303"/>
      <c r="AN572" s="174" t="str">
        <f t="shared" si="80"/>
        <v>Leer</v>
      </c>
    </row>
    <row r="573" spans="1:40" s="174" customFormat="1" ht="15" customHeight="1">
      <c r="A573" s="63"/>
      <c r="B573" s="63"/>
      <c r="C573" s="84"/>
      <c r="D573" s="85"/>
      <c r="E573" s="62"/>
      <c r="F573" s="62"/>
      <c r="G573" s="62"/>
      <c r="H573" s="62"/>
      <c r="I573" s="62"/>
      <c r="J573" s="62"/>
      <c r="K573" s="62"/>
      <c r="L573" s="62"/>
      <c r="M573" s="62"/>
      <c r="N573" s="62"/>
      <c r="O573" s="62"/>
      <c r="P573" s="62"/>
      <c r="Q573" s="62"/>
      <c r="R573" s="62"/>
      <c r="S573" s="258"/>
      <c r="T573" s="248" t="str">
        <f t="shared" si="76"/>
        <v/>
      </c>
      <c r="U573" s="249" t="str">
        <f t="shared" si="77"/>
        <v/>
      </c>
      <c r="V573" s="294" t="str">
        <f t="shared" si="73"/>
        <v/>
      </c>
      <c r="W573" s="294" t="str">
        <f>IF(((E573="")+(F573="")),"",IF(VLOOKUP(F573,Mannschaften!$A$1:$B$54,2,FALSE)&lt;&gt;E573,"Reiter Mannschaften füllen",""))</f>
        <v/>
      </c>
      <c r="X573" s="248" t="str">
        <f>IF(ISBLANK(C573),"",IF((U573&gt;(LOOKUP(E573,WKNrListe,Übersicht!$O$7:$O$46)))+(U573&lt;(LOOKUP(E573,WKNrListe,Übersicht!$P$7:$P$46))),"JG falsch",""))</f>
        <v/>
      </c>
      <c r="Y573" s="255" t="str">
        <f>IF((A573="")*(B573=""),"",IF(ISERROR(MATCH(E573,WKNrListe,0)),"WK falsch",LOOKUP(E573,WKNrListe,Übersicht!$B$7:$B$46)))</f>
        <v/>
      </c>
      <c r="Z573" s="269" t="str">
        <f>IF(((AJ573=0)*(AH573&lt;&gt;"")*(AK573="-"))+((AJ573&lt;&gt;0)*(AH573&lt;&gt;"")*(AK573="-")),IF(AG573="X",Übersicht!$C$70,Übersicht!$C$69),"-")</f>
        <v>-</v>
      </c>
      <c r="AA573" s="252" t="str">
        <f>IF((($A573="")*($B573=""))+((MID($Y573,1,4)&lt;&gt;"Wahl")*(Deckblatt!$C$14='WK-Vorlagen'!$C$82))+(Deckblatt!$C$14&lt;&gt;'WK-Vorlagen'!$C$82),"",IF(ISERROR(MATCH(VALUE(MID(G573,1,2)),Schwierigkeitsstufen!$G$7:$G$19,0)),"Gerät falsch",LOOKUP(VALUE(MID(G573,1,2)),Schwierigkeitsstufen!$G$7:$G$19,Schwierigkeitsstufen!$H$7:$H$19)))</f>
        <v/>
      </c>
      <c r="AB573" s="250" t="str">
        <f>IF((($A573="")*($B573=""))+((MID($Y573,1,4)&lt;&gt;"Wahl")*(Deckblatt!$C$14='WK-Vorlagen'!$C$82))+(Deckblatt!$C$14&lt;&gt;'WK-Vorlagen'!$C$82),"",IF(ISERROR(MATCH(VALUE(MID(H573,1,2)),Schwierigkeitsstufen!$G$7:$G$19,0)),"Gerät falsch",LOOKUP(VALUE(MID(H573,1,2)),Schwierigkeitsstufen!$G$7:$G$19,Schwierigkeitsstufen!$H$7:$H$19)))</f>
        <v/>
      </c>
      <c r="AC573" s="250" t="str">
        <f>IF((($A573="")*($B573=""))+((MID($Y573,1,4)&lt;&gt;"Wahl")*(Deckblatt!$C$14='WK-Vorlagen'!$C$82))+(Deckblatt!$C$14&lt;&gt;'WK-Vorlagen'!$C$82),"",IF(ISERROR(MATCH(VALUE(MID(I573,1,2)),Schwierigkeitsstufen!$G$7:$G$19,0)),"Gerät falsch",LOOKUP(VALUE(MID(I573,1,2)),Schwierigkeitsstufen!$G$7:$G$19,Schwierigkeitsstufen!$H$7:$H$19)))</f>
        <v/>
      </c>
      <c r="AD573" s="251" t="str">
        <f>IF((($A573="")*($B573=""))+((MID($Y573,1,4)&lt;&gt;"Wahl")*(Deckblatt!$C$14='WK-Vorlagen'!$C$82))+(Deckblatt!$C$14&lt;&gt;'WK-Vorlagen'!$C$82),"",IF(ISERROR(MATCH(VALUE(MID(J573,1,2)),Schwierigkeitsstufen!$G$7:$G$19,0)),"Gerät falsch",LOOKUP(VALUE(MID(J573,1,2)),Schwierigkeitsstufen!$G$7:$G$19,Schwierigkeitsstufen!$H$7:$H$19)))</f>
        <v/>
      </c>
      <c r="AE573" s="211"/>
      <c r="AG573" s="221" t="str">
        <f t="shared" si="72"/>
        <v/>
      </c>
      <c r="AH573" s="222" t="str">
        <f t="shared" si="74"/>
        <v/>
      </c>
      <c r="AI573" s="220">
        <f t="shared" si="79"/>
        <v>4</v>
      </c>
      <c r="AJ573" s="222">
        <f t="shared" si="75"/>
        <v>0</v>
      </c>
      <c r="AK573" s="299" t="str">
        <f>IF(ISERROR(LOOKUP(E573,WKNrListe,Übersicht!$R$7:$R$46)),"-",LOOKUP(E573,WKNrListe,Übersicht!$R$7:$R$46))</f>
        <v>-</v>
      </c>
      <c r="AL573" s="299" t="str">
        <f t="shared" si="78"/>
        <v>-</v>
      </c>
      <c r="AM573" s="303"/>
      <c r="AN573" s="174" t="str">
        <f t="shared" si="80"/>
        <v>Leer</v>
      </c>
    </row>
    <row r="574" spans="1:40" s="174" customFormat="1" ht="15" customHeight="1">
      <c r="A574" s="63"/>
      <c r="B574" s="63"/>
      <c r="C574" s="84"/>
      <c r="D574" s="85"/>
      <c r="E574" s="62"/>
      <c r="F574" s="62"/>
      <c r="G574" s="62"/>
      <c r="H574" s="62"/>
      <c r="I574" s="62"/>
      <c r="J574" s="62"/>
      <c r="K574" s="62"/>
      <c r="L574" s="62"/>
      <c r="M574" s="62"/>
      <c r="N574" s="62"/>
      <c r="O574" s="62"/>
      <c r="P574" s="62"/>
      <c r="Q574" s="62"/>
      <c r="R574" s="62"/>
      <c r="S574" s="258"/>
      <c r="T574" s="248" t="str">
        <f t="shared" si="76"/>
        <v/>
      </c>
      <c r="U574" s="249" t="str">
        <f t="shared" si="77"/>
        <v/>
      </c>
      <c r="V574" s="294" t="str">
        <f t="shared" si="73"/>
        <v/>
      </c>
      <c r="W574" s="294" t="str">
        <f>IF(((E574="")+(F574="")),"",IF(VLOOKUP(F574,Mannschaften!$A$1:$B$54,2,FALSE)&lt;&gt;E574,"Reiter Mannschaften füllen",""))</f>
        <v/>
      </c>
      <c r="X574" s="248" t="str">
        <f>IF(ISBLANK(C574),"",IF((U574&gt;(LOOKUP(E574,WKNrListe,Übersicht!$O$7:$O$46)))+(U574&lt;(LOOKUP(E574,WKNrListe,Übersicht!$P$7:$P$46))),"JG falsch",""))</f>
        <v/>
      </c>
      <c r="Y574" s="255" t="str">
        <f>IF((A574="")*(B574=""),"",IF(ISERROR(MATCH(E574,WKNrListe,0)),"WK falsch",LOOKUP(E574,WKNrListe,Übersicht!$B$7:$B$46)))</f>
        <v/>
      </c>
      <c r="Z574" s="269" t="str">
        <f>IF(((AJ574=0)*(AH574&lt;&gt;"")*(AK574="-"))+((AJ574&lt;&gt;0)*(AH574&lt;&gt;"")*(AK574="-")),IF(AG574="X",Übersicht!$C$70,Übersicht!$C$69),"-")</f>
        <v>-</v>
      </c>
      <c r="AA574" s="252" t="str">
        <f>IF((($A574="")*($B574=""))+((MID($Y574,1,4)&lt;&gt;"Wahl")*(Deckblatt!$C$14='WK-Vorlagen'!$C$82))+(Deckblatt!$C$14&lt;&gt;'WK-Vorlagen'!$C$82),"",IF(ISERROR(MATCH(VALUE(MID(G574,1,2)),Schwierigkeitsstufen!$G$7:$G$19,0)),"Gerät falsch",LOOKUP(VALUE(MID(G574,1,2)),Schwierigkeitsstufen!$G$7:$G$19,Schwierigkeitsstufen!$H$7:$H$19)))</f>
        <v/>
      </c>
      <c r="AB574" s="250" t="str">
        <f>IF((($A574="")*($B574=""))+((MID($Y574,1,4)&lt;&gt;"Wahl")*(Deckblatt!$C$14='WK-Vorlagen'!$C$82))+(Deckblatt!$C$14&lt;&gt;'WK-Vorlagen'!$C$82),"",IF(ISERROR(MATCH(VALUE(MID(H574,1,2)),Schwierigkeitsstufen!$G$7:$G$19,0)),"Gerät falsch",LOOKUP(VALUE(MID(H574,1,2)),Schwierigkeitsstufen!$G$7:$G$19,Schwierigkeitsstufen!$H$7:$H$19)))</f>
        <v/>
      </c>
      <c r="AC574" s="250" t="str">
        <f>IF((($A574="")*($B574=""))+((MID($Y574,1,4)&lt;&gt;"Wahl")*(Deckblatt!$C$14='WK-Vorlagen'!$C$82))+(Deckblatt!$C$14&lt;&gt;'WK-Vorlagen'!$C$82),"",IF(ISERROR(MATCH(VALUE(MID(I574,1,2)),Schwierigkeitsstufen!$G$7:$G$19,0)),"Gerät falsch",LOOKUP(VALUE(MID(I574,1,2)),Schwierigkeitsstufen!$G$7:$G$19,Schwierigkeitsstufen!$H$7:$H$19)))</f>
        <v/>
      </c>
      <c r="AD574" s="251" t="str">
        <f>IF((($A574="")*($B574=""))+((MID($Y574,1,4)&lt;&gt;"Wahl")*(Deckblatt!$C$14='WK-Vorlagen'!$C$82))+(Deckblatt!$C$14&lt;&gt;'WK-Vorlagen'!$C$82),"",IF(ISERROR(MATCH(VALUE(MID(J574,1,2)),Schwierigkeitsstufen!$G$7:$G$19,0)),"Gerät falsch",LOOKUP(VALUE(MID(J574,1,2)),Schwierigkeitsstufen!$G$7:$G$19,Schwierigkeitsstufen!$H$7:$H$19)))</f>
        <v/>
      </c>
      <c r="AE574" s="211"/>
      <c r="AG574" s="221" t="str">
        <f t="shared" si="72"/>
        <v/>
      </c>
      <c r="AH574" s="222" t="str">
        <f t="shared" si="74"/>
        <v/>
      </c>
      <c r="AI574" s="220">
        <f t="shared" si="79"/>
        <v>4</v>
      </c>
      <c r="AJ574" s="222">
        <f t="shared" si="75"/>
        <v>0</v>
      </c>
      <c r="AK574" s="299" t="str">
        <f>IF(ISERROR(LOOKUP(E574,WKNrListe,Übersicht!$R$7:$R$46)),"-",LOOKUP(E574,WKNrListe,Übersicht!$R$7:$R$46))</f>
        <v>-</v>
      </c>
      <c r="AL574" s="299" t="str">
        <f t="shared" si="78"/>
        <v>-</v>
      </c>
      <c r="AM574" s="303"/>
      <c r="AN574" s="174" t="str">
        <f t="shared" si="80"/>
        <v>Leer</v>
      </c>
    </row>
    <row r="575" spans="1:40" s="174" customFormat="1" ht="15" customHeight="1">
      <c r="A575" s="63"/>
      <c r="B575" s="63"/>
      <c r="C575" s="84"/>
      <c r="D575" s="85"/>
      <c r="E575" s="62"/>
      <c r="F575" s="62"/>
      <c r="G575" s="62"/>
      <c r="H575" s="62"/>
      <c r="I575" s="62"/>
      <c r="J575" s="62"/>
      <c r="K575" s="62"/>
      <c r="L575" s="62"/>
      <c r="M575" s="62"/>
      <c r="N575" s="62"/>
      <c r="O575" s="62"/>
      <c r="P575" s="62"/>
      <c r="Q575" s="62"/>
      <c r="R575" s="62"/>
      <c r="S575" s="258"/>
      <c r="T575" s="248" t="str">
        <f t="shared" si="76"/>
        <v/>
      </c>
      <c r="U575" s="249" t="str">
        <f t="shared" si="77"/>
        <v/>
      </c>
      <c r="V575" s="294" t="str">
        <f t="shared" si="73"/>
        <v/>
      </c>
      <c r="W575" s="294" t="str">
        <f>IF(((E575="")+(F575="")),"",IF(VLOOKUP(F575,Mannschaften!$A$1:$B$54,2,FALSE)&lt;&gt;E575,"Reiter Mannschaften füllen",""))</f>
        <v/>
      </c>
      <c r="X575" s="248" t="str">
        <f>IF(ISBLANK(C575),"",IF((U575&gt;(LOOKUP(E575,WKNrListe,Übersicht!$O$7:$O$46)))+(U575&lt;(LOOKUP(E575,WKNrListe,Übersicht!$P$7:$P$46))),"JG falsch",""))</f>
        <v/>
      </c>
      <c r="Y575" s="255" t="str">
        <f>IF((A575="")*(B575=""),"",IF(ISERROR(MATCH(E575,WKNrListe,0)),"WK falsch",LOOKUP(E575,WKNrListe,Übersicht!$B$7:$B$46)))</f>
        <v/>
      </c>
      <c r="Z575" s="269" t="str">
        <f>IF(((AJ575=0)*(AH575&lt;&gt;"")*(AK575="-"))+((AJ575&lt;&gt;0)*(AH575&lt;&gt;"")*(AK575="-")),IF(AG575="X",Übersicht!$C$70,Übersicht!$C$69),"-")</f>
        <v>-</v>
      </c>
      <c r="AA575" s="252" t="str">
        <f>IF((($A575="")*($B575=""))+((MID($Y575,1,4)&lt;&gt;"Wahl")*(Deckblatt!$C$14='WK-Vorlagen'!$C$82))+(Deckblatt!$C$14&lt;&gt;'WK-Vorlagen'!$C$82),"",IF(ISERROR(MATCH(VALUE(MID(G575,1,2)),Schwierigkeitsstufen!$G$7:$G$19,0)),"Gerät falsch",LOOKUP(VALUE(MID(G575,1,2)),Schwierigkeitsstufen!$G$7:$G$19,Schwierigkeitsstufen!$H$7:$H$19)))</f>
        <v/>
      </c>
      <c r="AB575" s="250" t="str">
        <f>IF((($A575="")*($B575=""))+((MID($Y575,1,4)&lt;&gt;"Wahl")*(Deckblatt!$C$14='WK-Vorlagen'!$C$82))+(Deckblatt!$C$14&lt;&gt;'WK-Vorlagen'!$C$82),"",IF(ISERROR(MATCH(VALUE(MID(H575,1,2)),Schwierigkeitsstufen!$G$7:$G$19,0)),"Gerät falsch",LOOKUP(VALUE(MID(H575,1,2)),Schwierigkeitsstufen!$G$7:$G$19,Schwierigkeitsstufen!$H$7:$H$19)))</f>
        <v/>
      </c>
      <c r="AC575" s="250" t="str">
        <f>IF((($A575="")*($B575=""))+((MID($Y575,1,4)&lt;&gt;"Wahl")*(Deckblatt!$C$14='WK-Vorlagen'!$C$82))+(Deckblatt!$C$14&lt;&gt;'WK-Vorlagen'!$C$82),"",IF(ISERROR(MATCH(VALUE(MID(I575,1,2)),Schwierigkeitsstufen!$G$7:$G$19,0)),"Gerät falsch",LOOKUP(VALUE(MID(I575,1,2)),Schwierigkeitsstufen!$G$7:$G$19,Schwierigkeitsstufen!$H$7:$H$19)))</f>
        <v/>
      </c>
      <c r="AD575" s="251" t="str">
        <f>IF((($A575="")*($B575=""))+((MID($Y575,1,4)&lt;&gt;"Wahl")*(Deckblatt!$C$14='WK-Vorlagen'!$C$82))+(Deckblatt!$C$14&lt;&gt;'WK-Vorlagen'!$C$82),"",IF(ISERROR(MATCH(VALUE(MID(J575,1,2)),Schwierigkeitsstufen!$G$7:$G$19,0)),"Gerät falsch",LOOKUP(VALUE(MID(J575,1,2)),Schwierigkeitsstufen!$G$7:$G$19,Schwierigkeitsstufen!$H$7:$H$19)))</f>
        <v/>
      </c>
      <c r="AE575" s="211"/>
      <c r="AG575" s="221" t="str">
        <f t="shared" si="72"/>
        <v/>
      </c>
      <c r="AH575" s="222" t="str">
        <f t="shared" si="74"/>
        <v/>
      </c>
      <c r="AI575" s="220">
        <f t="shared" si="79"/>
        <v>4</v>
      </c>
      <c r="AJ575" s="222">
        <f t="shared" si="75"/>
        <v>0</v>
      </c>
      <c r="AK575" s="299" t="str">
        <f>IF(ISERROR(LOOKUP(E575,WKNrListe,Übersicht!$R$7:$R$46)),"-",LOOKUP(E575,WKNrListe,Übersicht!$R$7:$R$46))</f>
        <v>-</v>
      </c>
      <c r="AL575" s="299" t="str">
        <f t="shared" si="78"/>
        <v>-</v>
      </c>
      <c r="AM575" s="303"/>
      <c r="AN575" s="174" t="str">
        <f t="shared" si="80"/>
        <v>Leer</v>
      </c>
    </row>
    <row r="576" spans="1:40" s="174" customFormat="1" ht="15" customHeight="1">
      <c r="A576" s="63"/>
      <c r="B576" s="63"/>
      <c r="C576" s="84"/>
      <c r="D576" s="85"/>
      <c r="E576" s="62"/>
      <c r="F576" s="62"/>
      <c r="G576" s="62"/>
      <c r="H576" s="62"/>
      <c r="I576" s="62"/>
      <c r="J576" s="62"/>
      <c r="K576" s="62"/>
      <c r="L576" s="62"/>
      <c r="M576" s="62"/>
      <c r="N576" s="62"/>
      <c r="O576" s="62"/>
      <c r="P576" s="62"/>
      <c r="Q576" s="62"/>
      <c r="R576" s="62"/>
      <c r="S576" s="258"/>
      <c r="T576" s="248" t="str">
        <f t="shared" si="76"/>
        <v/>
      </c>
      <c r="U576" s="249" t="str">
        <f t="shared" si="77"/>
        <v/>
      </c>
      <c r="V576" s="294" t="str">
        <f t="shared" si="73"/>
        <v/>
      </c>
      <c r="W576" s="294" t="str">
        <f>IF(((E576="")+(F576="")),"",IF(VLOOKUP(F576,Mannschaften!$A$1:$B$54,2,FALSE)&lt;&gt;E576,"Reiter Mannschaften füllen",""))</f>
        <v/>
      </c>
      <c r="X576" s="248" t="str">
        <f>IF(ISBLANK(C576),"",IF((U576&gt;(LOOKUP(E576,WKNrListe,Übersicht!$O$7:$O$46)))+(U576&lt;(LOOKUP(E576,WKNrListe,Übersicht!$P$7:$P$46))),"JG falsch",""))</f>
        <v/>
      </c>
      <c r="Y576" s="255" t="str">
        <f>IF((A576="")*(B576=""),"",IF(ISERROR(MATCH(E576,WKNrListe,0)),"WK falsch",LOOKUP(E576,WKNrListe,Übersicht!$B$7:$B$46)))</f>
        <v/>
      </c>
      <c r="Z576" s="269" t="str">
        <f>IF(((AJ576=0)*(AH576&lt;&gt;"")*(AK576="-"))+((AJ576&lt;&gt;0)*(AH576&lt;&gt;"")*(AK576="-")),IF(AG576="X",Übersicht!$C$70,Übersicht!$C$69),"-")</f>
        <v>-</v>
      </c>
      <c r="AA576" s="252" t="str">
        <f>IF((($A576="")*($B576=""))+((MID($Y576,1,4)&lt;&gt;"Wahl")*(Deckblatt!$C$14='WK-Vorlagen'!$C$82))+(Deckblatt!$C$14&lt;&gt;'WK-Vorlagen'!$C$82),"",IF(ISERROR(MATCH(VALUE(MID(G576,1,2)),Schwierigkeitsstufen!$G$7:$G$19,0)),"Gerät falsch",LOOKUP(VALUE(MID(G576,1,2)),Schwierigkeitsstufen!$G$7:$G$19,Schwierigkeitsstufen!$H$7:$H$19)))</f>
        <v/>
      </c>
      <c r="AB576" s="250" t="str">
        <f>IF((($A576="")*($B576=""))+((MID($Y576,1,4)&lt;&gt;"Wahl")*(Deckblatt!$C$14='WK-Vorlagen'!$C$82))+(Deckblatt!$C$14&lt;&gt;'WK-Vorlagen'!$C$82),"",IF(ISERROR(MATCH(VALUE(MID(H576,1,2)),Schwierigkeitsstufen!$G$7:$G$19,0)),"Gerät falsch",LOOKUP(VALUE(MID(H576,1,2)),Schwierigkeitsstufen!$G$7:$G$19,Schwierigkeitsstufen!$H$7:$H$19)))</f>
        <v/>
      </c>
      <c r="AC576" s="250" t="str">
        <f>IF((($A576="")*($B576=""))+((MID($Y576,1,4)&lt;&gt;"Wahl")*(Deckblatt!$C$14='WK-Vorlagen'!$C$82))+(Deckblatt!$C$14&lt;&gt;'WK-Vorlagen'!$C$82),"",IF(ISERROR(MATCH(VALUE(MID(I576,1,2)),Schwierigkeitsstufen!$G$7:$G$19,0)),"Gerät falsch",LOOKUP(VALUE(MID(I576,1,2)),Schwierigkeitsstufen!$G$7:$G$19,Schwierigkeitsstufen!$H$7:$H$19)))</f>
        <v/>
      </c>
      <c r="AD576" s="251" t="str">
        <f>IF((($A576="")*($B576=""))+((MID($Y576,1,4)&lt;&gt;"Wahl")*(Deckblatt!$C$14='WK-Vorlagen'!$C$82))+(Deckblatt!$C$14&lt;&gt;'WK-Vorlagen'!$C$82),"",IF(ISERROR(MATCH(VALUE(MID(J576,1,2)),Schwierigkeitsstufen!$G$7:$G$19,0)),"Gerät falsch",LOOKUP(VALUE(MID(J576,1,2)),Schwierigkeitsstufen!$G$7:$G$19,Schwierigkeitsstufen!$H$7:$H$19)))</f>
        <v/>
      </c>
      <c r="AE576" s="211"/>
      <c r="AG576" s="221" t="str">
        <f t="shared" si="72"/>
        <v/>
      </c>
      <c r="AH576" s="222" t="str">
        <f t="shared" si="74"/>
        <v/>
      </c>
      <c r="AI576" s="220">
        <f t="shared" si="79"/>
        <v>4</v>
      </c>
      <c r="AJ576" s="222">
        <f t="shared" si="75"/>
        <v>0</v>
      </c>
      <c r="AK576" s="299" t="str">
        <f>IF(ISERROR(LOOKUP(E576,WKNrListe,Übersicht!$R$7:$R$46)),"-",LOOKUP(E576,WKNrListe,Übersicht!$R$7:$R$46))</f>
        <v>-</v>
      </c>
      <c r="AL576" s="299" t="str">
        <f t="shared" si="78"/>
        <v>-</v>
      </c>
      <c r="AM576" s="303"/>
      <c r="AN576" s="174" t="str">
        <f t="shared" si="80"/>
        <v>Leer</v>
      </c>
    </row>
    <row r="577" spans="1:40" s="174" customFormat="1" ht="15" customHeight="1">
      <c r="A577" s="63"/>
      <c r="B577" s="63"/>
      <c r="C577" s="84"/>
      <c r="D577" s="85"/>
      <c r="E577" s="62"/>
      <c r="F577" s="62"/>
      <c r="G577" s="62"/>
      <c r="H577" s="62"/>
      <c r="I577" s="62"/>
      <c r="J577" s="62"/>
      <c r="K577" s="62"/>
      <c r="L577" s="62"/>
      <c r="M577" s="62"/>
      <c r="N577" s="62"/>
      <c r="O577" s="62"/>
      <c r="P577" s="62"/>
      <c r="Q577" s="62"/>
      <c r="R577" s="62"/>
      <c r="S577" s="258"/>
      <c r="T577" s="248" t="str">
        <f t="shared" si="76"/>
        <v/>
      </c>
      <c r="U577" s="249" t="str">
        <f t="shared" si="77"/>
        <v/>
      </c>
      <c r="V577" s="294" t="str">
        <f t="shared" si="73"/>
        <v/>
      </c>
      <c r="W577" s="294" t="str">
        <f>IF(((E577="")+(F577="")),"",IF(VLOOKUP(F577,Mannschaften!$A$1:$B$54,2,FALSE)&lt;&gt;E577,"Reiter Mannschaften füllen",""))</f>
        <v/>
      </c>
      <c r="X577" s="248" t="str">
        <f>IF(ISBLANK(C577),"",IF((U577&gt;(LOOKUP(E577,WKNrListe,Übersicht!$O$7:$O$46)))+(U577&lt;(LOOKUP(E577,WKNrListe,Übersicht!$P$7:$P$46))),"JG falsch",""))</f>
        <v/>
      </c>
      <c r="Y577" s="255" t="str">
        <f>IF((A577="")*(B577=""),"",IF(ISERROR(MATCH(E577,WKNrListe,0)),"WK falsch",LOOKUP(E577,WKNrListe,Übersicht!$B$7:$B$46)))</f>
        <v/>
      </c>
      <c r="Z577" s="269" t="str">
        <f>IF(((AJ577=0)*(AH577&lt;&gt;"")*(AK577="-"))+((AJ577&lt;&gt;0)*(AH577&lt;&gt;"")*(AK577="-")),IF(AG577="X",Übersicht!$C$70,Übersicht!$C$69),"-")</f>
        <v>-</v>
      </c>
      <c r="AA577" s="252" t="str">
        <f>IF((($A577="")*($B577=""))+((MID($Y577,1,4)&lt;&gt;"Wahl")*(Deckblatt!$C$14='WK-Vorlagen'!$C$82))+(Deckblatt!$C$14&lt;&gt;'WK-Vorlagen'!$C$82),"",IF(ISERROR(MATCH(VALUE(MID(G577,1,2)),Schwierigkeitsstufen!$G$7:$G$19,0)),"Gerät falsch",LOOKUP(VALUE(MID(G577,1,2)),Schwierigkeitsstufen!$G$7:$G$19,Schwierigkeitsstufen!$H$7:$H$19)))</f>
        <v/>
      </c>
      <c r="AB577" s="250" t="str">
        <f>IF((($A577="")*($B577=""))+((MID($Y577,1,4)&lt;&gt;"Wahl")*(Deckblatt!$C$14='WK-Vorlagen'!$C$82))+(Deckblatt!$C$14&lt;&gt;'WK-Vorlagen'!$C$82),"",IF(ISERROR(MATCH(VALUE(MID(H577,1,2)),Schwierigkeitsstufen!$G$7:$G$19,0)),"Gerät falsch",LOOKUP(VALUE(MID(H577,1,2)),Schwierigkeitsstufen!$G$7:$G$19,Schwierigkeitsstufen!$H$7:$H$19)))</f>
        <v/>
      </c>
      <c r="AC577" s="250" t="str">
        <f>IF((($A577="")*($B577=""))+((MID($Y577,1,4)&lt;&gt;"Wahl")*(Deckblatt!$C$14='WK-Vorlagen'!$C$82))+(Deckblatt!$C$14&lt;&gt;'WK-Vorlagen'!$C$82),"",IF(ISERROR(MATCH(VALUE(MID(I577,1,2)),Schwierigkeitsstufen!$G$7:$G$19,0)),"Gerät falsch",LOOKUP(VALUE(MID(I577,1,2)),Schwierigkeitsstufen!$G$7:$G$19,Schwierigkeitsstufen!$H$7:$H$19)))</f>
        <v/>
      </c>
      <c r="AD577" s="251" t="str">
        <f>IF((($A577="")*($B577=""))+((MID($Y577,1,4)&lt;&gt;"Wahl")*(Deckblatt!$C$14='WK-Vorlagen'!$C$82))+(Deckblatt!$C$14&lt;&gt;'WK-Vorlagen'!$C$82),"",IF(ISERROR(MATCH(VALUE(MID(J577,1,2)),Schwierigkeitsstufen!$G$7:$G$19,0)),"Gerät falsch",LOOKUP(VALUE(MID(J577,1,2)),Schwierigkeitsstufen!$G$7:$G$19,Schwierigkeitsstufen!$H$7:$H$19)))</f>
        <v/>
      </c>
      <c r="AE577" s="211"/>
      <c r="AG577" s="221" t="str">
        <f t="shared" si="72"/>
        <v/>
      </c>
      <c r="AH577" s="222" t="str">
        <f t="shared" si="74"/>
        <v/>
      </c>
      <c r="AI577" s="220">
        <f t="shared" si="79"/>
        <v>4</v>
      </c>
      <c r="AJ577" s="222">
        <f t="shared" si="75"/>
        <v>0</v>
      </c>
      <c r="AK577" s="299" t="str">
        <f>IF(ISERROR(LOOKUP(E577,WKNrListe,Übersicht!$R$7:$R$46)),"-",LOOKUP(E577,WKNrListe,Übersicht!$R$7:$R$46))</f>
        <v>-</v>
      </c>
      <c r="AL577" s="299" t="str">
        <f t="shared" si="78"/>
        <v>-</v>
      </c>
      <c r="AM577" s="303"/>
      <c r="AN577" s="174" t="str">
        <f t="shared" si="80"/>
        <v>Leer</v>
      </c>
    </row>
    <row r="578" spans="1:40" s="174" customFormat="1" ht="15" customHeight="1">
      <c r="A578" s="63"/>
      <c r="B578" s="63"/>
      <c r="C578" s="84"/>
      <c r="D578" s="85"/>
      <c r="E578" s="62"/>
      <c r="F578" s="62"/>
      <c r="G578" s="62"/>
      <c r="H578" s="62"/>
      <c r="I578" s="62"/>
      <c r="J578" s="62"/>
      <c r="K578" s="62"/>
      <c r="L578" s="62"/>
      <c r="M578" s="62"/>
      <c r="N578" s="62"/>
      <c r="O578" s="62"/>
      <c r="P578" s="62"/>
      <c r="Q578" s="62"/>
      <c r="R578" s="62"/>
      <c r="S578" s="258"/>
      <c r="T578" s="248" t="str">
        <f t="shared" si="76"/>
        <v/>
      </c>
      <c r="U578" s="249" t="str">
        <f t="shared" si="77"/>
        <v/>
      </c>
      <c r="V578" s="294" t="str">
        <f t="shared" si="73"/>
        <v/>
      </c>
      <c r="W578" s="294" t="str">
        <f>IF(((E578="")+(F578="")),"",IF(VLOOKUP(F578,Mannschaften!$A$1:$B$54,2,FALSE)&lt;&gt;E578,"Reiter Mannschaften füllen",""))</f>
        <v/>
      </c>
      <c r="X578" s="248" t="str">
        <f>IF(ISBLANK(C578),"",IF((U578&gt;(LOOKUP(E578,WKNrListe,Übersicht!$O$7:$O$46)))+(U578&lt;(LOOKUP(E578,WKNrListe,Übersicht!$P$7:$P$46))),"JG falsch",""))</f>
        <v/>
      </c>
      <c r="Y578" s="255" t="str">
        <f>IF((A578="")*(B578=""),"",IF(ISERROR(MATCH(E578,WKNrListe,0)),"WK falsch",LOOKUP(E578,WKNrListe,Übersicht!$B$7:$B$46)))</f>
        <v/>
      </c>
      <c r="Z578" s="269" t="str">
        <f>IF(((AJ578=0)*(AH578&lt;&gt;"")*(AK578="-"))+((AJ578&lt;&gt;0)*(AH578&lt;&gt;"")*(AK578="-")),IF(AG578="X",Übersicht!$C$70,Übersicht!$C$69),"-")</f>
        <v>-</v>
      </c>
      <c r="AA578" s="252" t="str">
        <f>IF((($A578="")*($B578=""))+((MID($Y578,1,4)&lt;&gt;"Wahl")*(Deckblatt!$C$14='WK-Vorlagen'!$C$82))+(Deckblatt!$C$14&lt;&gt;'WK-Vorlagen'!$C$82),"",IF(ISERROR(MATCH(VALUE(MID(G578,1,2)),Schwierigkeitsstufen!$G$7:$G$19,0)),"Gerät falsch",LOOKUP(VALUE(MID(G578,1,2)),Schwierigkeitsstufen!$G$7:$G$19,Schwierigkeitsstufen!$H$7:$H$19)))</f>
        <v/>
      </c>
      <c r="AB578" s="250" t="str">
        <f>IF((($A578="")*($B578=""))+((MID($Y578,1,4)&lt;&gt;"Wahl")*(Deckblatt!$C$14='WK-Vorlagen'!$C$82))+(Deckblatt!$C$14&lt;&gt;'WK-Vorlagen'!$C$82),"",IF(ISERROR(MATCH(VALUE(MID(H578,1,2)),Schwierigkeitsstufen!$G$7:$G$19,0)),"Gerät falsch",LOOKUP(VALUE(MID(H578,1,2)),Schwierigkeitsstufen!$G$7:$G$19,Schwierigkeitsstufen!$H$7:$H$19)))</f>
        <v/>
      </c>
      <c r="AC578" s="250" t="str">
        <f>IF((($A578="")*($B578=""))+((MID($Y578,1,4)&lt;&gt;"Wahl")*(Deckblatt!$C$14='WK-Vorlagen'!$C$82))+(Deckblatt!$C$14&lt;&gt;'WK-Vorlagen'!$C$82),"",IF(ISERROR(MATCH(VALUE(MID(I578,1,2)),Schwierigkeitsstufen!$G$7:$G$19,0)),"Gerät falsch",LOOKUP(VALUE(MID(I578,1,2)),Schwierigkeitsstufen!$G$7:$G$19,Schwierigkeitsstufen!$H$7:$H$19)))</f>
        <v/>
      </c>
      <c r="AD578" s="251" t="str">
        <f>IF((($A578="")*($B578=""))+((MID($Y578,1,4)&lt;&gt;"Wahl")*(Deckblatt!$C$14='WK-Vorlagen'!$C$82))+(Deckblatt!$C$14&lt;&gt;'WK-Vorlagen'!$C$82),"",IF(ISERROR(MATCH(VALUE(MID(J578,1,2)),Schwierigkeitsstufen!$G$7:$G$19,0)),"Gerät falsch",LOOKUP(VALUE(MID(J578,1,2)),Schwierigkeitsstufen!$G$7:$G$19,Schwierigkeitsstufen!$H$7:$H$19)))</f>
        <v/>
      </c>
      <c r="AE578" s="211"/>
      <c r="AG578" s="221" t="str">
        <f t="shared" si="72"/>
        <v/>
      </c>
      <c r="AH578" s="222" t="str">
        <f t="shared" si="74"/>
        <v/>
      </c>
      <c r="AI578" s="220">
        <f t="shared" si="79"/>
        <v>4</v>
      </c>
      <c r="AJ578" s="222">
        <f t="shared" si="75"/>
        <v>0</v>
      </c>
      <c r="AK578" s="299" t="str">
        <f>IF(ISERROR(LOOKUP(E578,WKNrListe,Übersicht!$R$7:$R$46)),"-",LOOKUP(E578,WKNrListe,Übersicht!$R$7:$R$46))</f>
        <v>-</v>
      </c>
      <c r="AL578" s="299" t="str">
        <f t="shared" si="78"/>
        <v>-</v>
      </c>
      <c r="AM578" s="303"/>
      <c r="AN578" s="174" t="str">
        <f t="shared" si="80"/>
        <v>Leer</v>
      </c>
    </row>
    <row r="579" spans="1:40" s="174" customFormat="1" ht="15" customHeight="1">
      <c r="A579" s="63"/>
      <c r="B579" s="63"/>
      <c r="C579" s="84"/>
      <c r="D579" s="85"/>
      <c r="E579" s="62"/>
      <c r="F579" s="62"/>
      <c r="G579" s="62"/>
      <c r="H579" s="62"/>
      <c r="I579" s="62"/>
      <c r="J579" s="62"/>
      <c r="K579" s="62"/>
      <c r="L579" s="62"/>
      <c r="M579" s="62"/>
      <c r="N579" s="62"/>
      <c r="O579" s="62"/>
      <c r="P579" s="62"/>
      <c r="Q579" s="62"/>
      <c r="R579" s="62"/>
      <c r="S579" s="258"/>
      <c r="T579" s="248" t="str">
        <f t="shared" si="76"/>
        <v/>
      </c>
      <c r="U579" s="249" t="str">
        <f t="shared" si="77"/>
        <v/>
      </c>
      <c r="V579" s="294" t="str">
        <f t="shared" si="73"/>
        <v/>
      </c>
      <c r="W579" s="294" t="str">
        <f>IF(((E579="")+(F579="")),"",IF(VLOOKUP(F579,Mannschaften!$A$1:$B$54,2,FALSE)&lt;&gt;E579,"Reiter Mannschaften füllen",""))</f>
        <v/>
      </c>
      <c r="X579" s="248" t="str">
        <f>IF(ISBLANK(C579),"",IF((U579&gt;(LOOKUP(E579,WKNrListe,Übersicht!$O$7:$O$46)))+(U579&lt;(LOOKUP(E579,WKNrListe,Übersicht!$P$7:$P$46))),"JG falsch",""))</f>
        <v/>
      </c>
      <c r="Y579" s="255" t="str">
        <f>IF((A579="")*(B579=""),"",IF(ISERROR(MATCH(E579,WKNrListe,0)),"WK falsch",LOOKUP(E579,WKNrListe,Übersicht!$B$7:$B$46)))</f>
        <v/>
      </c>
      <c r="Z579" s="269" t="str">
        <f>IF(((AJ579=0)*(AH579&lt;&gt;"")*(AK579="-"))+((AJ579&lt;&gt;0)*(AH579&lt;&gt;"")*(AK579="-")),IF(AG579="X",Übersicht!$C$70,Übersicht!$C$69),"-")</f>
        <v>-</v>
      </c>
      <c r="AA579" s="252" t="str">
        <f>IF((($A579="")*($B579=""))+((MID($Y579,1,4)&lt;&gt;"Wahl")*(Deckblatt!$C$14='WK-Vorlagen'!$C$82))+(Deckblatt!$C$14&lt;&gt;'WK-Vorlagen'!$C$82),"",IF(ISERROR(MATCH(VALUE(MID(G579,1,2)),Schwierigkeitsstufen!$G$7:$G$19,0)),"Gerät falsch",LOOKUP(VALUE(MID(G579,1,2)),Schwierigkeitsstufen!$G$7:$G$19,Schwierigkeitsstufen!$H$7:$H$19)))</f>
        <v/>
      </c>
      <c r="AB579" s="250" t="str">
        <f>IF((($A579="")*($B579=""))+((MID($Y579,1,4)&lt;&gt;"Wahl")*(Deckblatt!$C$14='WK-Vorlagen'!$C$82))+(Deckblatt!$C$14&lt;&gt;'WK-Vorlagen'!$C$82),"",IF(ISERROR(MATCH(VALUE(MID(H579,1,2)),Schwierigkeitsstufen!$G$7:$G$19,0)),"Gerät falsch",LOOKUP(VALUE(MID(H579,1,2)),Schwierigkeitsstufen!$G$7:$G$19,Schwierigkeitsstufen!$H$7:$H$19)))</f>
        <v/>
      </c>
      <c r="AC579" s="250" t="str">
        <f>IF((($A579="")*($B579=""))+((MID($Y579,1,4)&lt;&gt;"Wahl")*(Deckblatt!$C$14='WK-Vorlagen'!$C$82))+(Deckblatt!$C$14&lt;&gt;'WK-Vorlagen'!$C$82),"",IF(ISERROR(MATCH(VALUE(MID(I579,1,2)),Schwierigkeitsstufen!$G$7:$G$19,0)),"Gerät falsch",LOOKUP(VALUE(MID(I579,1,2)),Schwierigkeitsstufen!$G$7:$G$19,Schwierigkeitsstufen!$H$7:$H$19)))</f>
        <v/>
      </c>
      <c r="AD579" s="251" t="str">
        <f>IF((($A579="")*($B579=""))+((MID($Y579,1,4)&lt;&gt;"Wahl")*(Deckblatt!$C$14='WK-Vorlagen'!$C$82))+(Deckblatt!$C$14&lt;&gt;'WK-Vorlagen'!$C$82),"",IF(ISERROR(MATCH(VALUE(MID(J579,1,2)),Schwierigkeitsstufen!$G$7:$G$19,0)),"Gerät falsch",LOOKUP(VALUE(MID(J579,1,2)),Schwierigkeitsstufen!$G$7:$G$19,Schwierigkeitsstufen!$H$7:$H$19)))</f>
        <v/>
      </c>
      <c r="AE579" s="211"/>
      <c r="AG579" s="221" t="str">
        <f t="shared" si="72"/>
        <v/>
      </c>
      <c r="AH579" s="222" t="str">
        <f t="shared" si="74"/>
        <v/>
      </c>
      <c r="AI579" s="220">
        <f t="shared" si="79"/>
        <v>4</v>
      </c>
      <c r="AJ579" s="222">
        <f t="shared" si="75"/>
        <v>0</v>
      </c>
      <c r="AK579" s="299" t="str">
        <f>IF(ISERROR(LOOKUP(E579,WKNrListe,Übersicht!$R$7:$R$46)),"-",LOOKUP(E579,WKNrListe,Übersicht!$R$7:$R$46))</f>
        <v>-</v>
      </c>
      <c r="AL579" s="299" t="str">
        <f t="shared" si="78"/>
        <v>-</v>
      </c>
      <c r="AM579" s="303"/>
      <c r="AN579" s="174" t="str">
        <f t="shared" si="80"/>
        <v>Leer</v>
      </c>
    </row>
    <row r="580" spans="1:40" s="174" customFormat="1" ht="15" customHeight="1">
      <c r="A580" s="63"/>
      <c r="B580" s="63"/>
      <c r="C580" s="84"/>
      <c r="D580" s="85"/>
      <c r="E580" s="62"/>
      <c r="F580" s="62"/>
      <c r="G580" s="62"/>
      <c r="H580" s="62"/>
      <c r="I580" s="62"/>
      <c r="J580" s="62"/>
      <c r="K580" s="62"/>
      <c r="L580" s="62"/>
      <c r="M580" s="62"/>
      <c r="N580" s="62"/>
      <c r="O580" s="62"/>
      <c r="P580" s="62"/>
      <c r="Q580" s="62"/>
      <c r="R580" s="62"/>
      <c r="S580" s="258"/>
      <c r="T580" s="248" t="str">
        <f t="shared" si="76"/>
        <v/>
      </c>
      <c r="U580" s="249" t="str">
        <f t="shared" si="77"/>
        <v/>
      </c>
      <c r="V580" s="294" t="str">
        <f t="shared" si="73"/>
        <v/>
      </c>
      <c r="W580" s="294" t="str">
        <f>IF(((E580="")+(F580="")),"",IF(VLOOKUP(F580,Mannschaften!$A$1:$B$54,2,FALSE)&lt;&gt;E580,"Reiter Mannschaften füllen",""))</f>
        <v/>
      </c>
      <c r="X580" s="248" t="str">
        <f>IF(ISBLANK(C580),"",IF((U580&gt;(LOOKUP(E580,WKNrListe,Übersicht!$O$7:$O$46)))+(U580&lt;(LOOKUP(E580,WKNrListe,Übersicht!$P$7:$P$46))),"JG falsch",""))</f>
        <v/>
      </c>
      <c r="Y580" s="255" t="str">
        <f>IF((A580="")*(B580=""),"",IF(ISERROR(MATCH(E580,WKNrListe,0)),"WK falsch",LOOKUP(E580,WKNrListe,Übersicht!$B$7:$B$46)))</f>
        <v/>
      </c>
      <c r="Z580" s="269" t="str">
        <f>IF(((AJ580=0)*(AH580&lt;&gt;"")*(AK580="-"))+((AJ580&lt;&gt;0)*(AH580&lt;&gt;"")*(AK580="-")),IF(AG580="X",Übersicht!$C$70,Übersicht!$C$69),"-")</f>
        <v>-</v>
      </c>
      <c r="AA580" s="252" t="str">
        <f>IF((($A580="")*($B580=""))+((MID($Y580,1,4)&lt;&gt;"Wahl")*(Deckblatt!$C$14='WK-Vorlagen'!$C$82))+(Deckblatt!$C$14&lt;&gt;'WK-Vorlagen'!$C$82),"",IF(ISERROR(MATCH(VALUE(MID(G580,1,2)),Schwierigkeitsstufen!$G$7:$G$19,0)),"Gerät falsch",LOOKUP(VALUE(MID(G580,1,2)),Schwierigkeitsstufen!$G$7:$G$19,Schwierigkeitsstufen!$H$7:$H$19)))</f>
        <v/>
      </c>
      <c r="AB580" s="250" t="str">
        <f>IF((($A580="")*($B580=""))+((MID($Y580,1,4)&lt;&gt;"Wahl")*(Deckblatt!$C$14='WK-Vorlagen'!$C$82))+(Deckblatt!$C$14&lt;&gt;'WK-Vorlagen'!$C$82),"",IF(ISERROR(MATCH(VALUE(MID(H580,1,2)),Schwierigkeitsstufen!$G$7:$G$19,0)),"Gerät falsch",LOOKUP(VALUE(MID(H580,1,2)),Schwierigkeitsstufen!$G$7:$G$19,Schwierigkeitsstufen!$H$7:$H$19)))</f>
        <v/>
      </c>
      <c r="AC580" s="250" t="str">
        <f>IF((($A580="")*($B580=""))+((MID($Y580,1,4)&lt;&gt;"Wahl")*(Deckblatt!$C$14='WK-Vorlagen'!$C$82))+(Deckblatt!$C$14&lt;&gt;'WK-Vorlagen'!$C$82),"",IF(ISERROR(MATCH(VALUE(MID(I580,1,2)),Schwierigkeitsstufen!$G$7:$G$19,0)),"Gerät falsch",LOOKUP(VALUE(MID(I580,1,2)),Schwierigkeitsstufen!$G$7:$G$19,Schwierigkeitsstufen!$H$7:$H$19)))</f>
        <v/>
      </c>
      <c r="AD580" s="251" t="str">
        <f>IF((($A580="")*($B580=""))+((MID($Y580,1,4)&lt;&gt;"Wahl")*(Deckblatt!$C$14='WK-Vorlagen'!$C$82))+(Deckblatt!$C$14&lt;&gt;'WK-Vorlagen'!$C$82),"",IF(ISERROR(MATCH(VALUE(MID(J580,1,2)),Schwierigkeitsstufen!$G$7:$G$19,0)),"Gerät falsch",LOOKUP(VALUE(MID(J580,1,2)),Schwierigkeitsstufen!$G$7:$G$19,Schwierigkeitsstufen!$H$7:$H$19)))</f>
        <v/>
      </c>
      <c r="AE580" s="211"/>
      <c r="AG580" s="221" t="str">
        <f t="shared" ref="AG580:AG643" si="81">IF((C580&lt;&gt;0),IF(((Jahr-U580)&gt;19)*(AJ580=0)*(AK580&lt;&gt;1),"X",IF(((Jahr-U580)&gt;19)*(AJ580=0),"J","-")),"")</f>
        <v/>
      </c>
      <c r="AH580" s="222" t="str">
        <f t="shared" si="74"/>
        <v/>
      </c>
      <c r="AI580" s="220">
        <f t="shared" si="79"/>
        <v>4</v>
      </c>
      <c r="AJ580" s="222">
        <f t="shared" si="75"/>
        <v>0</v>
      </c>
      <c r="AK580" s="299" t="str">
        <f>IF(ISERROR(LOOKUP(E580,WKNrListe,Übersicht!$R$7:$R$46)),"-",LOOKUP(E580,WKNrListe,Übersicht!$R$7:$R$46))</f>
        <v>-</v>
      </c>
      <c r="AL580" s="299" t="str">
        <f t="shared" si="78"/>
        <v>-</v>
      </c>
      <c r="AM580" s="303"/>
      <c r="AN580" s="174" t="str">
        <f t="shared" si="80"/>
        <v>Leer</v>
      </c>
    </row>
    <row r="581" spans="1:40" s="174" customFormat="1" ht="15" customHeight="1">
      <c r="A581" s="63"/>
      <c r="B581" s="63"/>
      <c r="C581" s="84"/>
      <c r="D581" s="85"/>
      <c r="E581" s="62"/>
      <c r="F581" s="62"/>
      <c r="G581" s="62"/>
      <c r="H581" s="62"/>
      <c r="I581" s="62"/>
      <c r="J581" s="62"/>
      <c r="K581" s="62"/>
      <c r="L581" s="62"/>
      <c r="M581" s="62"/>
      <c r="N581" s="62"/>
      <c r="O581" s="62"/>
      <c r="P581" s="62"/>
      <c r="Q581" s="62"/>
      <c r="R581" s="62"/>
      <c r="S581" s="258"/>
      <c r="T581" s="248" t="str">
        <f t="shared" si="76"/>
        <v/>
      </c>
      <c r="U581" s="249" t="str">
        <f t="shared" si="77"/>
        <v/>
      </c>
      <c r="V581" s="294" t="str">
        <f t="shared" ref="V581:V644" si="82">IF(((AK581="-")*(F581=""))+((AK581=1)*(F581&lt;&gt;""))+(Y581="WK falsch"),"",IF((AK581=1)*(F581=""),"Mannsch-Nr fehlt","Mannsch-Nr entf"))</f>
        <v/>
      </c>
      <c r="W581" s="294" t="str">
        <f>IF(((E581="")+(F581="")),"",IF(VLOOKUP(F581,Mannschaften!$A$1:$B$54,2,FALSE)&lt;&gt;E581,"Reiter Mannschaften füllen",""))</f>
        <v/>
      </c>
      <c r="X581" s="248" t="str">
        <f>IF(ISBLANK(C581),"",IF((U581&gt;(LOOKUP(E581,WKNrListe,Übersicht!$O$7:$O$46)))+(U581&lt;(LOOKUP(E581,WKNrListe,Übersicht!$P$7:$P$46))),"JG falsch",""))</f>
        <v/>
      </c>
      <c r="Y581" s="255" t="str">
        <f>IF((A581="")*(B581=""),"",IF(ISERROR(MATCH(E581,WKNrListe,0)),"WK falsch",LOOKUP(E581,WKNrListe,Übersicht!$B$7:$B$46)))</f>
        <v/>
      </c>
      <c r="Z581" s="269" t="str">
        <f>IF(((AJ581=0)*(AH581&lt;&gt;"")*(AK581="-"))+((AJ581&lt;&gt;0)*(AH581&lt;&gt;"")*(AK581="-")),IF(AG581="X",Übersicht!$C$70,Übersicht!$C$69),"-")</f>
        <v>-</v>
      </c>
      <c r="AA581" s="252" t="str">
        <f>IF((($A581="")*($B581=""))+((MID($Y581,1,4)&lt;&gt;"Wahl")*(Deckblatt!$C$14='WK-Vorlagen'!$C$82))+(Deckblatt!$C$14&lt;&gt;'WK-Vorlagen'!$C$82),"",IF(ISERROR(MATCH(VALUE(MID(G581,1,2)),Schwierigkeitsstufen!$G$7:$G$19,0)),"Gerät falsch",LOOKUP(VALUE(MID(G581,1,2)),Schwierigkeitsstufen!$G$7:$G$19,Schwierigkeitsstufen!$H$7:$H$19)))</f>
        <v/>
      </c>
      <c r="AB581" s="250" t="str">
        <f>IF((($A581="")*($B581=""))+((MID($Y581,1,4)&lt;&gt;"Wahl")*(Deckblatt!$C$14='WK-Vorlagen'!$C$82))+(Deckblatt!$C$14&lt;&gt;'WK-Vorlagen'!$C$82),"",IF(ISERROR(MATCH(VALUE(MID(H581,1,2)),Schwierigkeitsstufen!$G$7:$G$19,0)),"Gerät falsch",LOOKUP(VALUE(MID(H581,1,2)),Schwierigkeitsstufen!$G$7:$G$19,Schwierigkeitsstufen!$H$7:$H$19)))</f>
        <v/>
      </c>
      <c r="AC581" s="250" t="str">
        <f>IF((($A581="")*($B581=""))+((MID($Y581,1,4)&lt;&gt;"Wahl")*(Deckblatt!$C$14='WK-Vorlagen'!$C$82))+(Deckblatt!$C$14&lt;&gt;'WK-Vorlagen'!$C$82),"",IF(ISERROR(MATCH(VALUE(MID(I581,1,2)),Schwierigkeitsstufen!$G$7:$G$19,0)),"Gerät falsch",LOOKUP(VALUE(MID(I581,1,2)),Schwierigkeitsstufen!$G$7:$G$19,Schwierigkeitsstufen!$H$7:$H$19)))</f>
        <v/>
      </c>
      <c r="AD581" s="251" t="str">
        <f>IF((($A581="")*($B581=""))+((MID($Y581,1,4)&lt;&gt;"Wahl")*(Deckblatt!$C$14='WK-Vorlagen'!$C$82))+(Deckblatt!$C$14&lt;&gt;'WK-Vorlagen'!$C$82),"",IF(ISERROR(MATCH(VALUE(MID(J581,1,2)),Schwierigkeitsstufen!$G$7:$G$19,0)),"Gerät falsch",LOOKUP(VALUE(MID(J581,1,2)),Schwierigkeitsstufen!$G$7:$G$19,Schwierigkeitsstufen!$H$7:$H$19)))</f>
        <v/>
      </c>
      <c r="AE581" s="211"/>
      <c r="AG581" s="221" t="str">
        <f t="shared" si="81"/>
        <v/>
      </c>
      <c r="AH581" s="222" t="str">
        <f t="shared" ref="AH581:AH644" si="83">CONCATENATE(TRIM(A581),TRIM(B581),TRIM(C581))</f>
        <v/>
      </c>
      <c r="AI581" s="220">
        <f t="shared" si="79"/>
        <v>4</v>
      </c>
      <c r="AJ581" s="222">
        <f t="shared" ref="AJ581:AJ644" si="84">IF(AH581="",0,IF(ROW(AH581)=AI581,0,AI581))</f>
        <v>0</v>
      </c>
      <c r="AK581" s="299" t="str">
        <f>IF(ISERROR(LOOKUP(E581,WKNrListe,Übersicht!$R$7:$R$46)),"-",LOOKUP(E581,WKNrListe,Übersicht!$R$7:$R$46))</f>
        <v>-</v>
      </c>
      <c r="AL581" s="299" t="str">
        <f t="shared" si="78"/>
        <v>-</v>
      </c>
      <c r="AM581" s="303"/>
      <c r="AN581" s="174" t="str">
        <f t="shared" si="80"/>
        <v>Leer</v>
      </c>
    </row>
    <row r="582" spans="1:40" s="174" customFormat="1" ht="15" customHeight="1">
      <c r="A582" s="63"/>
      <c r="B582" s="63"/>
      <c r="C582" s="84"/>
      <c r="D582" s="85"/>
      <c r="E582" s="62"/>
      <c r="F582" s="62"/>
      <c r="G582" s="62"/>
      <c r="H582" s="62"/>
      <c r="I582" s="62"/>
      <c r="J582" s="62"/>
      <c r="K582" s="62"/>
      <c r="L582" s="62"/>
      <c r="M582" s="62"/>
      <c r="N582" s="62"/>
      <c r="O582" s="62"/>
      <c r="P582" s="62"/>
      <c r="Q582" s="62"/>
      <c r="R582" s="62"/>
      <c r="S582" s="258"/>
      <c r="T582" s="248" t="str">
        <f t="shared" ref="T582:T645" si="85">IF(AND(OR(ISTEXT(A582),ISTEXT(B582),NOT(ISBLANK(C582)),NOT(ISBLANK(D582)),NOT(ISBLANK(E582))),OR(ISBLANK(A582),ISBLANK(B582),ISBLANK(C582),ISBLANK(E582))),"unvollständig","")</f>
        <v/>
      </c>
      <c r="U582" s="249" t="str">
        <f t="shared" ref="U582:U645" si="86">IF(ISBLANK(C582),"",YEAR(C582))</f>
        <v/>
      </c>
      <c r="V582" s="294" t="str">
        <f t="shared" si="82"/>
        <v/>
      </c>
      <c r="W582" s="294" t="str">
        <f>IF(((E582="")+(F582="")),"",IF(VLOOKUP(F582,Mannschaften!$A$1:$B$54,2,FALSE)&lt;&gt;E582,"Reiter Mannschaften füllen",""))</f>
        <v/>
      </c>
      <c r="X582" s="248" t="str">
        <f>IF(ISBLANK(C582),"",IF((U582&gt;(LOOKUP(E582,WKNrListe,Übersicht!$O$7:$O$46)))+(U582&lt;(LOOKUP(E582,WKNrListe,Übersicht!$P$7:$P$46))),"JG falsch",""))</f>
        <v/>
      </c>
      <c r="Y582" s="255" t="str">
        <f>IF((A582="")*(B582=""),"",IF(ISERROR(MATCH(E582,WKNrListe,0)),"WK falsch",LOOKUP(E582,WKNrListe,Übersicht!$B$7:$B$46)))</f>
        <v/>
      </c>
      <c r="Z582" s="269" t="str">
        <f>IF(((AJ582=0)*(AH582&lt;&gt;"")*(AK582="-"))+((AJ582&lt;&gt;0)*(AH582&lt;&gt;"")*(AK582="-")),IF(AG582="X",Übersicht!$C$70,Übersicht!$C$69),"-")</f>
        <v>-</v>
      </c>
      <c r="AA582" s="252" t="str">
        <f>IF((($A582="")*($B582=""))+((MID($Y582,1,4)&lt;&gt;"Wahl")*(Deckblatt!$C$14='WK-Vorlagen'!$C$82))+(Deckblatt!$C$14&lt;&gt;'WK-Vorlagen'!$C$82),"",IF(ISERROR(MATCH(VALUE(MID(G582,1,2)),Schwierigkeitsstufen!$G$7:$G$19,0)),"Gerät falsch",LOOKUP(VALUE(MID(G582,1,2)),Schwierigkeitsstufen!$G$7:$G$19,Schwierigkeitsstufen!$H$7:$H$19)))</f>
        <v/>
      </c>
      <c r="AB582" s="250" t="str">
        <f>IF((($A582="")*($B582=""))+((MID($Y582,1,4)&lt;&gt;"Wahl")*(Deckblatt!$C$14='WK-Vorlagen'!$C$82))+(Deckblatt!$C$14&lt;&gt;'WK-Vorlagen'!$C$82),"",IF(ISERROR(MATCH(VALUE(MID(H582,1,2)),Schwierigkeitsstufen!$G$7:$G$19,0)),"Gerät falsch",LOOKUP(VALUE(MID(H582,1,2)),Schwierigkeitsstufen!$G$7:$G$19,Schwierigkeitsstufen!$H$7:$H$19)))</f>
        <v/>
      </c>
      <c r="AC582" s="250" t="str">
        <f>IF((($A582="")*($B582=""))+((MID($Y582,1,4)&lt;&gt;"Wahl")*(Deckblatt!$C$14='WK-Vorlagen'!$C$82))+(Deckblatt!$C$14&lt;&gt;'WK-Vorlagen'!$C$82),"",IF(ISERROR(MATCH(VALUE(MID(I582,1,2)),Schwierigkeitsstufen!$G$7:$G$19,0)),"Gerät falsch",LOOKUP(VALUE(MID(I582,1,2)),Schwierigkeitsstufen!$G$7:$G$19,Schwierigkeitsstufen!$H$7:$H$19)))</f>
        <v/>
      </c>
      <c r="AD582" s="251" t="str">
        <f>IF((($A582="")*($B582=""))+((MID($Y582,1,4)&lt;&gt;"Wahl")*(Deckblatt!$C$14='WK-Vorlagen'!$C$82))+(Deckblatt!$C$14&lt;&gt;'WK-Vorlagen'!$C$82),"",IF(ISERROR(MATCH(VALUE(MID(J582,1,2)),Schwierigkeitsstufen!$G$7:$G$19,0)),"Gerät falsch",LOOKUP(VALUE(MID(J582,1,2)),Schwierigkeitsstufen!$G$7:$G$19,Schwierigkeitsstufen!$H$7:$H$19)))</f>
        <v/>
      </c>
      <c r="AE582" s="211"/>
      <c r="AG582" s="221" t="str">
        <f t="shared" si="81"/>
        <v/>
      </c>
      <c r="AH582" s="222" t="str">
        <f t="shared" si="83"/>
        <v/>
      </c>
      <c r="AI582" s="220">
        <f t="shared" si="79"/>
        <v>4</v>
      </c>
      <c r="AJ582" s="222">
        <f t="shared" si="84"/>
        <v>0</v>
      </c>
      <c r="AK582" s="299" t="str">
        <f>IF(ISERROR(LOOKUP(E582,WKNrListe,Übersicht!$R$7:$R$46)),"-",LOOKUP(E582,WKNrListe,Übersicht!$R$7:$R$46))</f>
        <v>-</v>
      </c>
      <c r="AL582" s="299" t="str">
        <f t="shared" ref="AL582:AL645" si="87">IF(E582="","-",E582)</f>
        <v>-</v>
      </c>
      <c r="AM582" s="303"/>
      <c r="AN582" s="174" t="str">
        <f t="shared" si="80"/>
        <v>Leer</v>
      </c>
    </row>
    <row r="583" spans="1:40" s="174" customFormat="1" ht="15" customHeight="1">
      <c r="A583" s="63"/>
      <c r="B583" s="63"/>
      <c r="C583" s="84"/>
      <c r="D583" s="85"/>
      <c r="E583" s="62"/>
      <c r="F583" s="62"/>
      <c r="G583" s="62"/>
      <c r="H583" s="62"/>
      <c r="I583" s="62"/>
      <c r="J583" s="62"/>
      <c r="K583" s="62"/>
      <c r="L583" s="62"/>
      <c r="M583" s="62"/>
      <c r="N583" s="62"/>
      <c r="O583" s="62"/>
      <c r="P583" s="62"/>
      <c r="Q583" s="62"/>
      <c r="R583" s="62"/>
      <c r="S583" s="258"/>
      <c r="T583" s="248" t="str">
        <f t="shared" si="85"/>
        <v/>
      </c>
      <c r="U583" s="249" t="str">
        <f t="shared" si="86"/>
        <v/>
      </c>
      <c r="V583" s="294" t="str">
        <f t="shared" si="82"/>
        <v/>
      </c>
      <c r="W583" s="294" t="str">
        <f>IF(((E583="")+(F583="")),"",IF(VLOOKUP(F583,Mannschaften!$A$1:$B$54,2,FALSE)&lt;&gt;E583,"Reiter Mannschaften füllen",""))</f>
        <v/>
      </c>
      <c r="X583" s="248" t="str">
        <f>IF(ISBLANK(C583),"",IF((U583&gt;(LOOKUP(E583,WKNrListe,Übersicht!$O$7:$O$46)))+(U583&lt;(LOOKUP(E583,WKNrListe,Übersicht!$P$7:$P$46))),"JG falsch",""))</f>
        <v/>
      </c>
      <c r="Y583" s="255" t="str">
        <f>IF((A583="")*(B583=""),"",IF(ISERROR(MATCH(E583,WKNrListe,0)),"WK falsch",LOOKUP(E583,WKNrListe,Übersicht!$B$7:$B$46)))</f>
        <v/>
      </c>
      <c r="Z583" s="269" t="str">
        <f>IF(((AJ583=0)*(AH583&lt;&gt;"")*(AK583="-"))+((AJ583&lt;&gt;0)*(AH583&lt;&gt;"")*(AK583="-")),IF(AG583="X",Übersicht!$C$70,Übersicht!$C$69),"-")</f>
        <v>-</v>
      </c>
      <c r="AA583" s="252" t="str">
        <f>IF((($A583="")*($B583=""))+((MID($Y583,1,4)&lt;&gt;"Wahl")*(Deckblatt!$C$14='WK-Vorlagen'!$C$82))+(Deckblatt!$C$14&lt;&gt;'WK-Vorlagen'!$C$82),"",IF(ISERROR(MATCH(VALUE(MID(G583,1,2)),Schwierigkeitsstufen!$G$7:$G$19,0)),"Gerät falsch",LOOKUP(VALUE(MID(G583,1,2)),Schwierigkeitsstufen!$G$7:$G$19,Schwierigkeitsstufen!$H$7:$H$19)))</f>
        <v/>
      </c>
      <c r="AB583" s="250" t="str">
        <f>IF((($A583="")*($B583=""))+((MID($Y583,1,4)&lt;&gt;"Wahl")*(Deckblatt!$C$14='WK-Vorlagen'!$C$82))+(Deckblatt!$C$14&lt;&gt;'WK-Vorlagen'!$C$82),"",IF(ISERROR(MATCH(VALUE(MID(H583,1,2)),Schwierigkeitsstufen!$G$7:$G$19,0)),"Gerät falsch",LOOKUP(VALUE(MID(H583,1,2)),Schwierigkeitsstufen!$G$7:$G$19,Schwierigkeitsstufen!$H$7:$H$19)))</f>
        <v/>
      </c>
      <c r="AC583" s="250" t="str">
        <f>IF((($A583="")*($B583=""))+((MID($Y583,1,4)&lt;&gt;"Wahl")*(Deckblatt!$C$14='WK-Vorlagen'!$C$82))+(Deckblatt!$C$14&lt;&gt;'WK-Vorlagen'!$C$82),"",IF(ISERROR(MATCH(VALUE(MID(I583,1,2)),Schwierigkeitsstufen!$G$7:$G$19,0)),"Gerät falsch",LOOKUP(VALUE(MID(I583,1,2)),Schwierigkeitsstufen!$G$7:$G$19,Schwierigkeitsstufen!$H$7:$H$19)))</f>
        <v/>
      </c>
      <c r="AD583" s="251" t="str">
        <f>IF((($A583="")*($B583=""))+((MID($Y583,1,4)&lt;&gt;"Wahl")*(Deckblatt!$C$14='WK-Vorlagen'!$C$82))+(Deckblatt!$C$14&lt;&gt;'WK-Vorlagen'!$C$82),"",IF(ISERROR(MATCH(VALUE(MID(J583,1,2)),Schwierigkeitsstufen!$G$7:$G$19,0)),"Gerät falsch",LOOKUP(VALUE(MID(J583,1,2)),Schwierigkeitsstufen!$G$7:$G$19,Schwierigkeitsstufen!$H$7:$H$19)))</f>
        <v/>
      </c>
      <c r="AE583" s="211"/>
      <c r="AG583" s="221" t="str">
        <f t="shared" si="81"/>
        <v/>
      </c>
      <c r="AH583" s="222" t="str">
        <f t="shared" si="83"/>
        <v/>
      </c>
      <c r="AI583" s="220">
        <f t="shared" ref="AI583:AI646" si="88">MATCH(AH583,AH:AH,0)</f>
        <v>4</v>
      </c>
      <c r="AJ583" s="222">
        <f t="shared" si="84"/>
        <v>0</v>
      </c>
      <c r="AK583" s="299" t="str">
        <f>IF(ISERROR(LOOKUP(E583,WKNrListe,Übersicht!$R$7:$R$46)),"-",LOOKUP(E583,WKNrListe,Übersicht!$R$7:$R$46))</f>
        <v>-</v>
      </c>
      <c r="AL583" s="299" t="str">
        <f t="shared" si="87"/>
        <v>-</v>
      </c>
      <c r="AM583" s="303"/>
      <c r="AN583" s="174" t="str">
        <f t="shared" si="80"/>
        <v>Leer</v>
      </c>
    </row>
    <row r="584" spans="1:40" s="174" customFormat="1" ht="15" customHeight="1">
      <c r="A584" s="63"/>
      <c r="B584" s="63"/>
      <c r="C584" s="84"/>
      <c r="D584" s="85"/>
      <c r="E584" s="62"/>
      <c r="F584" s="62"/>
      <c r="G584" s="62"/>
      <c r="H584" s="62"/>
      <c r="I584" s="62"/>
      <c r="J584" s="62"/>
      <c r="K584" s="62"/>
      <c r="L584" s="62"/>
      <c r="M584" s="62"/>
      <c r="N584" s="62"/>
      <c r="O584" s="62"/>
      <c r="P584" s="62"/>
      <c r="Q584" s="62"/>
      <c r="R584" s="62"/>
      <c r="S584" s="258"/>
      <c r="T584" s="248" t="str">
        <f t="shared" si="85"/>
        <v/>
      </c>
      <c r="U584" s="249" t="str">
        <f t="shared" si="86"/>
        <v/>
      </c>
      <c r="V584" s="294" t="str">
        <f t="shared" si="82"/>
        <v/>
      </c>
      <c r="W584" s="294" t="str">
        <f>IF(((E584="")+(F584="")),"",IF(VLOOKUP(F584,Mannschaften!$A$1:$B$54,2,FALSE)&lt;&gt;E584,"Reiter Mannschaften füllen",""))</f>
        <v/>
      </c>
      <c r="X584" s="248" t="str">
        <f>IF(ISBLANK(C584),"",IF((U584&gt;(LOOKUP(E584,WKNrListe,Übersicht!$O$7:$O$46)))+(U584&lt;(LOOKUP(E584,WKNrListe,Übersicht!$P$7:$P$46))),"JG falsch",""))</f>
        <v/>
      </c>
      <c r="Y584" s="255" t="str">
        <f>IF((A584="")*(B584=""),"",IF(ISERROR(MATCH(E584,WKNrListe,0)),"WK falsch",LOOKUP(E584,WKNrListe,Übersicht!$B$7:$B$46)))</f>
        <v/>
      </c>
      <c r="Z584" s="269" t="str">
        <f>IF(((AJ584=0)*(AH584&lt;&gt;"")*(AK584="-"))+((AJ584&lt;&gt;0)*(AH584&lt;&gt;"")*(AK584="-")),IF(AG584="X",Übersicht!$C$70,Übersicht!$C$69),"-")</f>
        <v>-</v>
      </c>
      <c r="AA584" s="252" t="str">
        <f>IF((($A584="")*($B584=""))+((MID($Y584,1,4)&lt;&gt;"Wahl")*(Deckblatt!$C$14='WK-Vorlagen'!$C$82))+(Deckblatt!$C$14&lt;&gt;'WK-Vorlagen'!$C$82),"",IF(ISERROR(MATCH(VALUE(MID(G584,1,2)),Schwierigkeitsstufen!$G$7:$G$19,0)),"Gerät falsch",LOOKUP(VALUE(MID(G584,1,2)),Schwierigkeitsstufen!$G$7:$G$19,Schwierigkeitsstufen!$H$7:$H$19)))</f>
        <v/>
      </c>
      <c r="AB584" s="250" t="str">
        <f>IF((($A584="")*($B584=""))+((MID($Y584,1,4)&lt;&gt;"Wahl")*(Deckblatt!$C$14='WK-Vorlagen'!$C$82))+(Deckblatt!$C$14&lt;&gt;'WK-Vorlagen'!$C$82),"",IF(ISERROR(MATCH(VALUE(MID(H584,1,2)),Schwierigkeitsstufen!$G$7:$G$19,0)),"Gerät falsch",LOOKUP(VALUE(MID(H584,1,2)),Schwierigkeitsstufen!$G$7:$G$19,Schwierigkeitsstufen!$H$7:$H$19)))</f>
        <v/>
      </c>
      <c r="AC584" s="250" t="str">
        <f>IF((($A584="")*($B584=""))+((MID($Y584,1,4)&lt;&gt;"Wahl")*(Deckblatt!$C$14='WK-Vorlagen'!$C$82))+(Deckblatt!$C$14&lt;&gt;'WK-Vorlagen'!$C$82),"",IF(ISERROR(MATCH(VALUE(MID(I584,1,2)),Schwierigkeitsstufen!$G$7:$G$19,0)),"Gerät falsch",LOOKUP(VALUE(MID(I584,1,2)),Schwierigkeitsstufen!$G$7:$G$19,Schwierigkeitsstufen!$H$7:$H$19)))</f>
        <v/>
      </c>
      <c r="AD584" s="251" t="str">
        <f>IF((($A584="")*($B584=""))+((MID($Y584,1,4)&lt;&gt;"Wahl")*(Deckblatt!$C$14='WK-Vorlagen'!$C$82))+(Deckblatt!$C$14&lt;&gt;'WK-Vorlagen'!$C$82),"",IF(ISERROR(MATCH(VALUE(MID(J584,1,2)),Schwierigkeitsstufen!$G$7:$G$19,0)),"Gerät falsch",LOOKUP(VALUE(MID(J584,1,2)),Schwierigkeitsstufen!$G$7:$G$19,Schwierigkeitsstufen!$H$7:$H$19)))</f>
        <v/>
      </c>
      <c r="AE584" s="211"/>
      <c r="AG584" s="221" t="str">
        <f t="shared" si="81"/>
        <v/>
      </c>
      <c r="AH584" s="222" t="str">
        <f t="shared" si="83"/>
        <v/>
      </c>
      <c r="AI584" s="220">
        <f t="shared" si="88"/>
        <v>4</v>
      </c>
      <c r="AJ584" s="222">
        <f t="shared" si="84"/>
        <v>0</v>
      </c>
      <c r="AK584" s="299" t="str">
        <f>IF(ISERROR(LOOKUP(E584,WKNrListe,Übersicht!$R$7:$R$46)),"-",LOOKUP(E584,WKNrListe,Übersicht!$R$7:$R$46))</f>
        <v>-</v>
      </c>
      <c r="AL584" s="299" t="str">
        <f t="shared" si="87"/>
        <v>-</v>
      </c>
      <c r="AM584" s="303"/>
      <c r="AN584" s="174" t="str">
        <f t="shared" si="80"/>
        <v>Leer</v>
      </c>
    </row>
    <row r="585" spans="1:40" s="174" customFormat="1" ht="15" customHeight="1">
      <c r="A585" s="63"/>
      <c r="B585" s="63"/>
      <c r="C585" s="84"/>
      <c r="D585" s="85"/>
      <c r="E585" s="62"/>
      <c r="F585" s="62"/>
      <c r="G585" s="62"/>
      <c r="H585" s="62"/>
      <c r="I585" s="62"/>
      <c r="J585" s="62"/>
      <c r="K585" s="62"/>
      <c r="L585" s="62"/>
      <c r="M585" s="62"/>
      <c r="N585" s="62"/>
      <c r="O585" s="62"/>
      <c r="P585" s="62"/>
      <c r="Q585" s="62"/>
      <c r="R585" s="62"/>
      <c r="S585" s="258"/>
      <c r="T585" s="248" t="str">
        <f t="shared" si="85"/>
        <v/>
      </c>
      <c r="U585" s="249" t="str">
        <f t="shared" si="86"/>
        <v/>
      </c>
      <c r="V585" s="294" t="str">
        <f t="shared" si="82"/>
        <v/>
      </c>
      <c r="W585" s="294" t="str">
        <f>IF(((E585="")+(F585="")),"",IF(VLOOKUP(F585,Mannschaften!$A$1:$B$54,2,FALSE)&lt;&gt;E585,"Reiter Mannschaften füllen",""))</f>
        <v/>
      </c>
      <c r="X585" s="248" t="str">
        <f>IF(ISBLANK(C585),"",IF((U585&gt;(LOOKUP(E585,WKNrListe,Übersicht!$O$7:$O$46)))+(U585&lt;(LOOKUP(E585,WKNrListe,Übersicht!$P$7:$P$46))),"JG falsch",""))</f>
        <v/>
      </c>
      <c r="Y585" s="255" t="str">
        <f>IF((A585="")*(B585=""),"",IF(ISERROR(MATCH(E585,WKNrListe,0)),"WK falsch",LOOKUP(E585,WKNrListe,Übersicht!$B$7:$B$46)))</f>
        <v/>
      </c>
      <c r="Z585" s="269" t="str">
        <f>IF(((AJ585=0)*(AH585&lt;&gt;"")*(AK585="-"))+((AJ585&lt;&gt;0)*(AH585&lt;&gt;"")*(AK585="-")),IF(AG585="X",Übersicht!$C$70,Übersicht!$C$69),"-")</f>
        <v>-</v>
      </c>
      <c r="AA585" s="252" t="str">
        <f>IF((($A585="")*($B585=""))+((MID($Y585,1,4)&lt;&gt;"Wahl")*(Deckblatt!$C$14='WK-Vorlagen'!$C$82))+(Deckblatt!$C$14&lt;&gt;'WK-Vorlagen'!$C$82),"",IF(ISERROR(MATCH(VALUE(MID(G585,1,2)),Schwierigkeitsstufen!$G$7:$G$19,0)),"Gerät falsch",LOOKUP(VALUE(MID(G585,1,2)),Schwierigkeitsstufen!$G$7:$G$19,Schwierigkeitsstufen!$H$7:$H$19)))</f>
        <v/>
      </c>
      <c r="AB585" s="250" t="str">
        <f>IF((($A585="")*($B585=""))+((MID($Y585,1,4)&lt;&gt;"Wahl")*(Deckblatt!$C$14='WK-Vorlagen'!$C$82))+(Deckblatt!$C$14&lt;&gt;'WK-Vorlagen'!$C$82),"",IF(ISERROR(MATCH(VALUE(MID(H585,1,2)),Schwierigkeitsstufen!$G$7:$G$19,0)),"Gerät falsch",LOOKUP(VALUE(MID(H585,1,2)),Schwierigkeitsstufen!$G$7:$G$19,Schwierigkeitsstufen!$H$7:$H$19)))</f>
        <v/>
      </c>
      <c r="AC585" s="250" t="str">
        <f>IF((($A585="")*($B585=""))+((MID($Y585,1,4)&lt;&gt;"Wahl")*(Deckblatt!$C$14='WK-Vorlagen'!$C$82))+(Deckblatt!$C$14&lt;&gt;'WK-Vorlagen'!$C$82),"",IF(ISERROR(MATCH(VALUE(MID(I585,1,2)),Schwierigkeitsstufen!$G$7:$G$19,0)),"Gerät falsch",LOOKUP(VALUE(MID(I585,1,2)),Schwierigkeitsstufen!$G$7:$G$19,Schwierigkeitsstufen!$H$7:$H$19)))</f>
        <v/>
      </c>
      <c r="AD585" s="251" t="str">
        <f>IF((($A585="")*($B585=""))+((MID($Y585,1,4)&lt;&gt;"Wahl")*(Deckblatt!$C$14='WK-Vorlagen'!$C$82))+(Deckblatt!$C$14&lt;&gt;'WK-Vorlagen'!$C$82),"",IF(ISERROR(MATCH(VALUE(MID(J585,1,2)),Schwierigkeitsstufen!$G$7:$G$19,0)),"Gerät falsch",LOOKUP(VALUE(MID(J585,1,2)),Schwierigkeitsstufen!$G$7:$G$19,Schwierigkeitsstufen!$H$7:$H$19)))</f>
        <v/>
      </c>
      <c r="AE585" s="211"/>
      <c r="AG585" s="221" t="str">
        <f t="shared" si="81"/>
        <v/>
      </c>
      <c r="AH585" s="222" t="str">
        <f t="shared" si="83"/>
        <v/>
      </c>
      <c r="AI585" s="220">
        <f t="shared" si="88"/>
        <v>4</v>
      </c>
      <c r="AJ585" s="222">
        <f t="shared" si="84"/>
        <v>0</v>
      </c>
      <c r="AK585" s="299" t="str">
        <f>IF(ISERROR(LOOKUP(E585,WKNrListe,Übersicht!$R$7:$R$46)),"-",LOOKUP(E585,WKNrListe,Übersicht!$R$7:$R$46))</f>
        <v>-</v>
      </c>
      <c r="AL585" s="299" t="str">
        <f t="shared" si="87"/>
        <v>-</v>
      </c>
      <c r="AM585" s="303"/>
      <c r="AN585" s="174" t="str">
        <f t="shared" si="80"/>
        <v>Leer</v>
      </c>
    </row>
    <row r="586" spans="1:40" s="174" customFormat="1" ht="15" customHeight="1">
      <c r="A586" s="63"/>
      <c r="B586" s="63"/>
      <c r="C586" s="84"/>
      <c r="D586" s="85"/>
      <c r="E586" s="62"/>
      <c r="F586" s="62"/>
      <c r="G586" s="62"/>
      <c r="H586" s="62"/>
      <c r="I586" s="62"/>
      <c r="J586" s="62"/>
      <c r="K586" s="62"/>
      <c r="L586" s="62"/>
      <c r="M586" s="62"/>
      <c r="N586" s="62"/>
      <c r="O586" s="62"/>
      <c r="P586" s="62"/>
      <c r="Q586" s="62"/>
      <c r="R586" s="62"/>
      <c r="S586" s="258"/>
      <c r="T586" s="248" t="str">
        <f t="shared" si="85"/>
        <v/>
      </c>
      <c r="U586" s="249" t="str">
        <f t="shared" si="86"/>
        <v/>
      </c>
      <c r="V586" s="294" t="str">
        <f t="shared" si="82"/>
        <v/>
      </c>
      <c r="W586" s="294" t="str">
        <f>IF(((E586="")+(F586="")),"",IF(VLOOKUP(F586,Mannschaften!$A$1:$B$54,2,FALSE)&lt;&gt;E586,"Reiter Mannschaften füllen",""))</f>
        <v/>
      </c>
      <c r="X586" s="248" t="str">
        <f>IF(ISBLANK(C586),"",IF((U586&gt;(LOOKUP(E586,WKNrListe,Übersicht!$O$7:$O$46)))+(U586&lt;(LOOKUP(E586,WKNrListe,Übersicht!$P$7:$P$46))),"JG falsch",""))</f>
        <v/>
      </c>
      <c r="Y586" s="255" t="str">
        <f>IF((A586="")*(B586=""),"",IF(ISERROR(MATCH(E586,WKNrListe,0)),"WK falsch",LOOKUP(E586,WKNrListe,Übersicht!$B$7:$B$46)))</f>
        <v/>
      </c>
      <c r="Z586" s="269" t="str">
        <f>IF(((AJ586=0)*(AH586&lt;&gt;"")*(AK586="-"))+((AJ586&lt;&gt;0)*(AH586&lt;&gt;"")*(AK586="-")),IF(AG586="X",Übersicht!$C$70,Übersicht!$C$69),"-")</f>
        <v>-</v>
      </c>
      <c r="AA586" s="252" t="str">
        <f>IF((($A586="")*($B586=""))+((MID($Y586,1,4)&lt;&gt;"Wahl")*(Deckblatt!$C$14='WK-Vorlagen'!$C$82))+(Deckblatt!$C$14&lt;&gt;'WK-Vorlagen'!$C$82),"",IF(ISERROR(MATCH(VALUE(MID(G586,1,2)),Schwierigkeitsstufen!$G$7:$G$19,0)),"Gerät falsch",LOOKUP(VALUE(MID(G586,1,2)),Schwierigkeitsstufen!$G$7:$G$19,Schwierigkeitsstufen!$H$7:$H$19)))</f>
        <v/>
      </c>
      <c r="AB586" s="250" t="str">
        <f>IF((($A586="")*($B586=""))+((MID($Y586,1,4)&lt;&gt;"Wahl")*(Deckblatt!$C$14='WK-Vorlagen'!$C$82))+(Deckblatt!$C$14&lt;&gt;'WK-Vorlagen'!$C$82),"",IF(ISERROR(MATCH(VALUE(MID(H586,1,2)),Schwierigkeitsstufen!$G$7:$G$19,0)),"Gerät falsch",LOOKUP(VALUE(MID(H586,1,2)),Schwierigkeitsstufen!$G$7:$G$19,Schwierigkeitsstufen!$H$7:$H$19)))</f>
        <v/>
      </c>
      <c r="AC586" s="250" t="str">
        <f>IF((($A586="")*($B586=""))+((MID($Y586,1,4)&lt;&gt;"Wahl")*(Deckblatt!$C$14='WK-Vorlagen'!$C$82))+(Deckblatt!$C$14&lt;&gt;'WK-Vorlagen'!$C$82),"",IF(ISERROR(MATCH(VALUE(MID(I586,1,2)),Schwierigkeitsstufen!$G$7:$G$19,0)),"Gerät falsch",LOOKUP(VALUE(MID(I586,1,2)),Schwierigkeitsstufen!$G$7:$G$19,Schwierigkeitsstufen!$H$7:$H$19)))</f>
        <v/>
      </c>
      <c r="AD586" s="251" t="str">
        <f>IF((($A586="")*($B586=""))+((MID($Y586,1,4)&lt;&gt;"Wahl")*(Deckblatt!$C$14='WK-Vorlagen'!$C$82))+(Deckblatt!$C$14&lt;&gt;'WK-Vorlagen'!$C$82),"",IF(ISERROR(MATCH(VALUE(MID(J586,1,2)),Schwierigkeitsstufen!$G$7:$G$19,0)),"Gerät falsch",LOOKUP(VALUE(MID(J586,1,2)),Schwierigkeitsstufen!$G$7:$G$19,Schwierigkeitsstufen!$H$7:$H$19)))</f>
        <v/>
      </c>
      <c r="AE586" s="211"/>
      <c r="AG586" s="221" t="str">
        <f t="shared" si="81"/>
        <v/>
      </c>
      <c r="AH586" s="222" t="str">
        <f t="shared" si="83"/>
        <v/>
      </c>
      <c r="AI586" s="220">
        <f t="shared" si="88"/>
        <v>4</v>
      </c>
      <c r="AJ586" s="222">
        <f t="shared" si="84"/>
        <v>0</v>
      </c>
      <c r="AK586" s="299" t="str">
        <f>IF(ISERROR(LOOKUP(E586,WKNrListe,Übersicht!$R$7:$R$46)),"-",LOOKUP(E586,WKNrListe,Übersicht!$R$7:$R$46))</f>
        <v>-</v>
      </c>
      <c r="AL586" s="299" t="str">
        <f t="shared" si="87"/>
        <v>-</v>
      </c>
      <c r="AM586" s="303"/>
      <c r="AN586" s="174" t="str">
        <f t="shared" si="80"/>
        <v>Leer</v>
      </c>
    </row>
    <row r="587" spans="1:40" s="174" customFormat="1" ht="15" customHeight="1">
      <c r="A587" s="63"/>
      <c r="B587" s="63"/>
      <c r="C587" s="84"/>
      <c r="D587" s="85"/>
      <c r="E587" s="62"/>
      <c r="F587" s="62"/>
      <c r="G587" s="62"/>
      <c r="H587" s="62"/>
      <c r="I587" s="62"/>
      <c r="J587" s="62"/>
      <c r="K587" s="62"/>
      <c r="L587" s="62"/>
      <c r="M587" s="62"/>
      <c r="N587" s="62"/>
      <c r="O587" s="62"/>
      <c r="P587" s="62"/>
      <c r="Q587" s="62"/>
      <c r="R587" s="62"/>
      <c r="S587" s="258"/>
      <c r="T587" s="248" t="str">
        <f t="shared" si="85"/>
        <v/>
      </c>
      <c r="U587" s="249" t="str">
        <f t="shared" si="86"/>
        <v/>
      </c>
      <c r="V587" s="294" t="str">
        <f t="shared" si="82"/>
        <v/>
      </c>
      <c r="W587" s="294" t="str">
        <f>IF(((E587="")+(F587="")),"",IF(VLOOKUP(F587,Mannschaften!$A$1:$B$54,2,FALSE)&lt;&gt;E587,"Reiter Mannschaften füllen",""))</f>
        <v/>
      </c>
      <c r="X587" s="248" t="str">
        <f>IF(ISBLANK(C587),"",IF((U587&gt;(LOOKUP(E587,WKNrListe,Übersicht!$O$7:$O$46)))+(U587&lt;(LOOKUP(E587,WKNrListe,Übersicht!$P$7:$P$46))),"JG falsch",""))</f>
        <v/>
      </c>
      <c r="Y587" s="255" t="str">
        <f>IF((A587="")*(B587=""),"",IF(ISERROR(MATCH(E587,WKNrListe,0)),"WK falsch",LOOKUP(E587,WKNrListe,Übersicht!$B$7:$B$46)))</f>
        <v/>
      </c>
      <c r="Z587" s="269" t="str">
        <f>IF(((AJ587=0)*(AH587&lt;&gt;"")*(AK587="-"))+((AJ587&lt;&gt;0)*(AH587&lt;&gt;"")*(AK587="-")),IF(AG587="X",Übersicht!$C$70,Übersicht!$C$69),"-")</f>
        <v>-</v>
      </c>
      <c r="AA587" s="252" t="str">
        <f>IF((($A587="")*($B587=""))+((MID($Y587,1,4)&lt;&gt;"Wahl")*(Deckblatt!$C$14='WK-Vorlagen'!$C$82))+(Deckblatt!$C$14&lt;&gt;'WK-Vorlagen'!$C$82),"",IF(ISERROR(MATCH(VALUE(MID(G587,1,2)),Schwierigkeitsstufen!$G$7:$G$19,0)),"Gerät falsch",LOOKUP(VALUE(MID(G587,1,2)),Schwierigkeitsstufen!$G$7:$G$19,Schwierigkeitsstufen!$H$7:$H$19)))</f>
        <v/>
      </c>
      <c r="AB587" s="250" t="str">
        <f>IF((($A587="")*($B587=""))+((MID($Y587,1,4)&lt;&gt;"Wahl")*(Deckblatt!$C$14='WK-Vorlagen'!$C$82))+(Deckblatt!$C$14&lt;&gt;'WK-Vorlagen'!$C$82),"",IF(ISERROR(MATCH(VALUE(MID(H587,1,2)),Schwierigkeitsstufen!$G$7:$G$19,0)),"Gerät falsch",LOOKUP(VALUE(MID(H587,1,2)),Schwierigkeitsstufen!$G$7:$G$19,Schwierigkeitsstufen!$H$7:$H$19)))</f>
        <v/>
      </c>
      <c r="AC587" s="250" t="str">
        <f>IF((($A587="")*($B587=""))+((MID($Y587,1,4)&lt;&gt;"Wahl")*(Deckblatt!$C$14='WK-Vorlagen'!$C$82))+(Deckblatt!$C$14&lt;&gt;'WK-Vorlagen'!$C$82),"",IF(ISERROR(MATCH(VALUE(MID(I587,1,2)),Schwierigkeitsstufen!$G$7:$G$19,0)),"Gerät falsch",LOOKUP(VALUE(MID(I587,1,2)),Schwierigkeitsstufen!$G$7:$G$19,Schwierigkeitsstufen!$H$7:$H$19)))</f>
        <v/>
      </c>
      <c r="AD587" s="251" t="str">
        <f>IF((($A587="")*($B587=""))+((MID($Y587,1,4)&lt;&gt;"Wahl")*(Deckblatt!$C$14='WK-Vorlagen'!$C$82))+(Deckblatt!$C$14&lt;&gt;'WK-Vorlagen'!$C$82),"",IF(ISERROR(MATCH(VALUE(MID(J587,1,2)),Schwierigkeitsstufen!$G$7:$G$19,0)),"Gerät falsch",LOOKUP(VALUE(MID(J587,1,2)),Schwierigkeitsstufen!$G$7:$G$19,Schwierigkeitsstufen!$H$7:$H$19)))</f>
        <v/>
      </c>
      <c r="AE587" s="211"/>
      <c r="AG587" s="221" t="str">
        <f t="shared" si="81"/>
        <v/>
      </c>
      <c r="AH587" s="222" t="str">
        <f t="shared" si="83"/>
        <v/>
      </c>
      <c r="AI587" s="220">
        <f t="shared" si="88"/>
        <v>4</v>
      </c>
      <c r="AJ587" s="222">
        <f t="shared" si="84"/>
        <v>0</v>
      </c>
      <c r="AK587" s="299" t="str">
        <f>IF(ISERROR(LOOKUP(E587,WKNrListe,Übersicht!$R$7:$R$46)),"-",LOOKUP(E587,WKNrListe,Übersicht!$R$7:$R$46))</f>
        <v>-</v>
      </c>
      <c r="AL587" s="299" t="str">
        <f t="shared" si="87"/>
        <v>-</v>
      </c>
      <c r="AM587" s="303"/>
      <c r="AN587" s="174" t="str">
        <f t="shared" si="80"/>
        <v>Leer</v>
      </c>
    </row>
    <row r="588" spans="1:40" s="174" customFormat="1" ht="15" customHeight="1">
      <c r="A588" s="63"/>
      <c r="B588" s="63"/>
      <c r="C588" s="84"/>
      <c r="D588" s="85"/>
      <c r="E588" s="62"/>
      <c r="F588" s="62"/>
      <c r="G588" s="62"/>
      <c r="H588" s="62"/>
      <c r="I588" s="62"/>
      <c r="J588" s="62"/>
      <c r="K588" s="62"/>
      <c r="L588" s="62"/>
      <c r="M588" s="62"/>
      <c r="N588" s="62"/>
      <c r="O588" s="62"/>
      <c r="P588" s="62"/>
      <c r="Q588" s="62"/>
      <c r="R588" s="62"/>
      <c r="S588" s="258"/>
      <c r="T588" s="248" t="str">
        <f t="shared" si="85"/>
        <v/>
      </c>
      <c r="U588" s="249" t="str">
        <f t="shared" si="86"/>
        <v/>
      </c>
      <c r="V588" s="294" t="str">
        <f t="shared" si="82"/>
        <v/>
      </c>
      <c r="W588" s="294" t="str">
        <f>IF(((E588="")+(F588="")),"",IF(VLOOKUP(F588,Mannschaften!$A$1:$B$54,2,FALSE)&lt;&gt;E588,"Reiter Mannschaften füllen",""))</f>
        <v/>
      </c>
      <c r="X588" s="248" t="str">
        <f>IF(ISBLANK(C588),"",IF((U588&gt;(LOOKUP(E588,WKNrListe,Übersicht!$O$7:$O$46)))+(U588&lt;(LOOKUP(E588,WKNrListe,Übersicht!$P$7:$P$46))),"JG falsch",""))</f>
        <v/>
      </c>
      <c r="Y588" s="255" t="str">
        <f>IF((A588="")*(B588=""),"",IF(ISERROR(MATCH(E588,WKNrListe,0)),"WK falsch",LOOKUP(E588,WKNrListe,Übersicht!$B$7:$B$46)))</f>
        <v/>
      </c>
      <c r="Z588" s="269" t="str">
        <f>IF(((AJ588=0)*(AH588&lt;&gt;"")*(AK588="-"))+((AJ588&lt;&gt;0)*(AH588&lt;&gt;"")*(AK588="-")),IF(AG588="X",Übersicht!$C$70,Übersicht!$C$69),"-")</f>
        <v>-</v>
      </c>
      <c r="AA588" s="252" t="str">
        <f>IF((($A588="")*($B588=""))+((MID($Y588,1,4)&lt;&gt;"Wahl")*(Deckblatt!$C$14='WK-Vorlagen'!$C$82))+(Deckblatt!$C$14&lt;&gt;'WK-Vorlagen'!$C$82),"",IF(ISERROR(MATCH(VALUE(MID(G588,1,2)),Schwierigkeitsstufen!$G$7:$G$19,0)),"Gerät falsch",LOOKUP(VALUE(MID(G588,1,2)),Schwierigkeitsstufen!$G$7:$G$19,Schwierigkeitsstufen!$H$7:$H$19)))</f>
        <v/>
      </c>
      <c r="AB588" s="250" t="str">
        <f>IF((($A588="")*($B588=""))+((MID($Y588,1,4)&lt;&gt;"Wahl")*(Deckblatt!$C$14='WK-Vorlagen'!$C$82))+(Deckblatt!$C$14&lt;&gt;'WK-Vorlagen'!$C$82),"",IF(ISERROR(MATCH(VALUE(MID(H588,1,2)),Schwierigkeitsstufen!$G$7:$G$19,0)),"Gerät falsch",LOOKUP(VALUE(MID(H588,1,2)),Schwierigkeitsstufen!$G$7:$G$19,Schwierigkeitsstufen!$H$7:$H$19)))</f>
        <v/>
      </c>
      <c r="AC588" s="250" t="str">
        <f>IF((($A588="")*($B588=""))+((MID($Y588,1,4)&lt;&gt;"Wahl")*(Deckblatt!$C$14='WK-Vorlagen'!$C$82))+(Deckblatt!$C$14&lt;&gt;'WK-Vorlagen'!$C$82),"",IF(ISERROR(MATCH(VALUE(MID(I588,1,2)),Schwierigkeitsstufen!$G$7:$G$19,0)),"Gerät falsch",LOOKUP(VALUE(MID(I588,1,2)),Schwierigkeitsstufen!$G$7:$G$19,Schwierigkeitsstufen!$H$7:$H$19)))</f>
        <v/>
      </c>
      <c r="AD588" s="251" t="str">
        <f>IF((($A588="")*($B588=""))+((MID($Y588,1,4)&lt;&gt;"Wahl")*(Deckblatt!$C$14='WK-Vorlagen'!$C$82))+(Deckblatt!$C$14&lt;&gt;'WK-Vorlagen'!$C$82),"",IF(ISERROR(MATCH(VALUE(MID(J588,1,2)),Schwierigkeitsstufen!$G$7:$G$19,0)),"Gerät falsch",LOOKUP(VALUE(MID(J588,1,2)),Schwierigkeitsstufen!$G$7:$G$19,Schwierigkeitsstufen!$H$7:$H$19)))</f>
        <v/>
      </c>
      <c r="AE588" s="211"/>
      <c r="AG588" s="221" t="str">
        <f t="shared" si="81"/>
        <v/>
      </c>
      <c r="AH588" s="222" t="str">
        <f t="shared" si="83"/>
        <v/>
      </c>
      <c r="AI588" s="220">
        <f t="shared" si="88"/>
        <v>4</v>
      </c>
      <c r="AJ588" s="222">
        <f t="shared" si="84"/>
        <v>0</v>
      </c>
      <c r="AK588" s="299" t="str">
        <f>IF(ISERROR(LOOKUP(E588,WKNrListe,Übersicht!$R$7:$R$46)),"-",LOOKUP(E588,WKNrListe,Übersicht!$R$7:$R$46))</f>
        <v>-</v>
      </c>
      <c r="AL588" s="299" t="str">
        <f t="shared" si="87"/>
        <v>-</v>
      </c>
      <c r="AM588" s="303"/>
      <c r="AN588" s="174" t="str">
        <f t="shared" si="80"/>
        <v>Leer</v>
      </c>
    </row>
    <row r="589" spans="1:40" s="174" customFormat="1" ht="15" customHeight="1">
      <c r="A589" s="63"/>
      <c r="B589" s="63"/>
      <c r="C589" s="84"/>
      <c r="D589" s="85"/>
      <c r="E589" s="62"/>
      <c r="F589" s="62"/>
      <c r="G589" s="62"/>
      <c r="H589" s="62"/>
      <c r="I589" s="62"/>
      <c r="J589" s="62"/>
      <c r="K589" s="62"/>
      <c r="L589" s="62"/>
      <c r="M589" s="62"/>
      <c r="N589" s="62"/>
      <c r="O589" s="62"/>
      <c r="P589" s="62"/>
      <c r="Q589" s="62"/>
      <c r="R589" s="62"/>
      <c r="S589" s="258"/>
      <c r="T589" s="248" t="str">
        <f t="shared" si="85"/>
        <v/>
      </c>
      <c r="U589" s="249" t="str">
        <f t="shared" si="86"/>
        <v/>
      </c>
      <c r="V589" s="294" t="str">
        <f t="shared" si="82"/>
        <v/>
      </c>
      <c r="W589" s="294" t="str">
        <f>IF(((E589="")+(F589="")),"",IF(VLOOKUP(F589,Mannschaften!$A$1:$B$54,2,FALSE)&lt;&gt;E589,"Reiter Mannschaften füllen",""))</f>
        <v/>
      </c>
      <c r="X589" s="248" t="str">
        <f>IF(ISBLANK(C589),"",IF((U589&gt;(LOOKUP(E589,WKNrListe,Übersicht!$O$7:$O$46)))+(U589&lt;(LOOKUP(E589,WKNrListe,Übersicht!$P$7:$P$46))),"JG falsch",""))</f>
        <v/>
      </c>
      <c r="Y589" s="255" t="str">
        <f>IF((A589="")*(B589=""),"",IF(ISERROR(MATCH(E589,WKNrListe,0)),"WK falsch",LOOKUP(E589,WKNrListe,Übersicht!$B$7:$B$46)))</f>
        <v/>
      </c>
      <c r="Z589" s="269" t="str">
        <f>IF(((AJ589=0)*(AH589&lt;&gt;"")*(AK589="-"))+((AJ589&lt;&gt;0)*(AH589&lt;&gt;"")*(AK589="-")),IF(AG589="X",Übersicht!$C$70,Übersicht!$C$69),"-")</f>
        <v>-</v>
      </c>
      <c r="AA589" s="252" t="str">
        <f>IF((($A589="")*($B589=""))+((MID($Y589,1,4)&lt;&gt;"Wahl")*(Deckblatt!$C$14='WK-Vorlagen'!$C$82))+(Deckblatt!$C$14&lt;&gt;'WK-Vorlagen'!$C$82),"",IF(ISERROR(MATCH(VALUE(MID(G589,1,2)),Schwierigkeitsstufen!$G$7:$G$19,0)),"Gerät falsch",LOOKUP(VALUE(MID(G589,1,2)),Schwierigkeitsstufen!$G$7:$G$19,Schwierigkeitsstufen!$H$7:$H$19)))</f>
        <v/>
      </c>
      <c r="AB589" s="250" t="str">
        <f>IF((($A589="")*($B589=""))+((MID($Y589,1,4)&lt;&gt;"Wahl")*(Deckblatt!$C$14='WK-Vorlagen'!$C$82))+(Deckblatt!$C$14&lt;&gt;'WK-Vorlagen'!$C$82),"",IF(ISERROR(MATCH(VALUE(MID(H589,1,2)),Schwierigkeitsstufen!$G$7:$G$19,0)),"Gerät falsch",LOOKUP(VALUE(MID(H589,1,2)),Schwierigkeitsstufen!$G$7:$G$19,Schwierigkeitsstufen!$H$7:$H$19)))</f>
        <v/>
      </c>
      <c r="AC589" s="250" t="str">
        <f>IF((($A589="")*($B589=""))+((MID($Y589,1,4)&lt;&gt;"Wahl")*(Deckblatt!$C$14='WK-Vorlagen'!$C$82))+(Deckblatt!$C$14&lt;&gt;'WK-Vorlagen'!$C$82),"",IF(ISERROR(MATCH(VALUE(MID(I589,1,2)),Schwierigkeitsstufen!$G$7:$G$19,0)),"Gerät falsch",LOOKUP(VALUE(MID(I589,1,2)),Schwierigkeitsstufen!$G$7:$G$19,Schwierigkeitsstufen!$H$7:$H$19)))</f>
        <v/>
      </c>
      <c r="AD589" s="251" t="str">
        <f>IF((($A589="")*($B589=""))+((MID($Y589,1,4)&lt;&gt;"Wahl")*(Deckblatt!$C$14='WK-Vorlagen'!$C$82))+(Deckblatt!$C$14&lt;&gt;'WK-Vorlagen'!$C$82),"",IF(ISERROR(MATCH(VALUE(MID(J589,1,2)),Schwierigkeitsstufen!$G$7:$G$19,0)),"Gerät falsch",LOOKUP(VALUE(MID(J589,1,2)),Schwierigkeitsstufen!$G$7:$G$19,Schwierigkeitsstufen!$H$7:$H$19)))</f>
        <v/>
      </c>
      <c r="AE589" s="211"/>
      <c r="AG589" s="221" t="str">
        <f t="shared" si="81"/>
        <v/>
      </c>
      <c r="AH589" s="222" t="str">
        <f t="shared" si="83"/>
        <v/>
      </c>
      <c r="AI589" s="220">
        <f t="shared" si="88"/>
        <v>4</v>
      </c>
      <c r="AJ589" s="222">
        <f t="shared" si="84"/>
        <v>0</v>
      </c>
      <c r="AK589" s="299" t="str">
        <f>IF(ISERROR(LOOKUP(E589,WKNrListe,Übersicht!$R$7:$R$46)),"-",LOOKUP(E589,WKNrListe,Übersicht!$R$7:$R$46))</f>
        <v>-</v>
      </c>
      <c r="AL589" s="299" t="str">
        <f t="shared" si="87"/>
        <v>-</v>
      </c>
      <c r="AM589" s="303"/>
      <c r="AN589" s="174" t="str">
        <f t="shared" si="80"/>
        <v>Leer</v>
      </c>
    </row>
    <row r="590" spans="1:40" s="174" customFormat="1" ht="15" customHeight="1">
      <c r="A590" s="63"/>
      <c r="B590" s="63"/>
      <c r="C590" s="84"/>
      <c r="D590" s="85"/>
      <c r="E590" s="62"/>
      <c r="F590" s="62"/>
      <c r="G590" s="62"/>
      <c r="H590" s="62"/>
      <c r="I590" s="62"/>
      <c r="J590" s="62"/>
      <c r="K590" s="62"/>
      <c r="L590" s="62"/>
      <c r="M590" s="62"/>
      <c r="N590" s="62"/>
      <c r="O590" s="62"/>
      <c r="P590" s="62"/>
      <c r="Q590" s="62"/>
      <c r="R590" s="62"/>
      <c r="S590" s="258"/>
      <c r="T590" s="248" t="str">
        <f t="shared" si="85"/>
        <v/>
      </c>
      <c r="U590" s="249" t="str">
        <f t="shared" si="86"/>
        <v/>
      </c>
      <c r="V590" s="294" t="str">
        <f t="shared" si="82"/>
        <v/>
      </c>
      <c r="W590" s="294" t="str">
        <f>IF(((E590="")+(F590="")),"",IF(VLOOKUP(F590,Mannschaften!$A$1:$B$54,2,FALSE)&lt;&gt;E590,"Reiter Mannschaften füllen",""))</f>
        <v/>
      </c>
      <c r="X590" s="248" t="str">
        <f>IF(ISBLANK(C590),"",IF((U590&gt;(LOOKUP(E590,WKNrListe,Übersicht!$O$7:$O$46)))+(U590&lt;(LOOKUP(E590,WKNrListe,Übersicht!$P$7:$P$46))),"JG falsch",""))</f>
        <v/>
      </c>
      <c r="Y590" s="255" t="str">
        <f>IF((A590="")*(B590=""),"",IF(ISERROR(MATCH(E590,WKNrListe,0)),"WK falsch",LOOKUP(E590,WKNrListe,Übersicht!$B$7:$B$46)))</f>
        <v/>
      </c>
      <c r="Z590" s="269" t="str">
        <f>IF(((AJ590=0)*(AH590&lt;&gt;"")*(AK590="-"))+((AJ590&lt;&gt;0)*(AH590&lt;&gt;"")*(AK590="-")),IF(AG590="X",Übersicht!$C$70,Übersicht!$C$69),"-")</f>
        <v>-</v>
      </c>
      <c r="AA590" s="252" t="str">
        <f>IF((($A590="")*($B590=""))+((MID($Y590,1,4)&lt;&gt;"Wahl")*(Deckblatt!$C$14='WK-Vorlagen'!$C$82))+(Deckblatt!$C$14&lt;&gt;'WK-Vorlagen'!$C$82),"",IF(ISERROR(MATCH(VALUE(MID(G590,1,2)),Schwierigkeitsstufen!$G$7:$G$19,0)),"Gerät falsch",LOOKUP(VALUE(MID(G590,1,2)),Schwierigkeitsstufen!$G$7:$G$19,Schwierigkeitsstufen!$H$7:$H$19)))</f>
        <v/>
      </c>
      <c r="AB590" s="250" t="str">
        <f>IF((($A590="")*($B590=""))+((MID($Y590,1,4)&lt;&gt;"Wahl")*(Deckblatt!$C$14='WK-Vorlagen'!$C$82))+(Deckblatt!$C$14&lt;&gt;'WK-Vorlagen'!$C$82),"",IF(ISERROR(MATCH(VALUE(MID(H590,1,2)),Schwierigkeitsstufen!$G$7:$G$19,0)),"Gerät falsch",LOOKUP(VALUE(MID(H590,1,2)),Schwierigkeitsstufen!$G$7:$G$19,Schwierigkeitsstufen!$H$7:$H$19)))</f>
        <v/>
      </c>
      <c r="AC590" s="250" t="str">
        <f>IF((($A590="")*($B590=""))+((MID($Y590,1,4)&lt;&gt;"Wahl")*(Deckblatt!$C$14='WK-Vorlagen'!$C$82))+(Deckblatt!$C$14&lt;&gt;'WK-Vorlagen'!$C$82),"",IF(ISERROR(MATCH(VALUE(MID(I590,1,2)),Schwierigkeitsstufen!$G$7:$G$19,0)),"Gerät falsch",LOOKUP(VALUE(MID(I590,1,2)),Schwierigkeitsstufen!$G$7:$G$19,Schwierigkeitsstufen!$H$7:$H$19)))</f>
        <v/>
      </c>
      <c r="AD590" s="251" t="str">
        <f>IF((($A590="")*($B590=""))+((MID($Y590,1,4)&lt;&gt;"Wahl")*(Deckblatt!$C$14='WK-Vorlagen'!$C$82))+(Deckblatt!$C$14&lt;&gt;'WK-Vorlagen'!$C$82),"",IF(ISERROR(MATCH(VALUE(MID(J590,1,2)),Schwierigkeitsstufen!$G$7:$G$19,0)),"Gerät falsch",LOOKUP(VALUE(MID(J590,1,2)),Schwierigkeitsstufen!$G$7:$G$19,Schwierigkeitsstufen!$H$7:$H$19)))</f>
        <v/>
      </c>
      <c r="AE590" s="211"/>
      <c r="AG590" s="221" t="str">
        <f t="shared" si="81"/>
        <v/>
      </c>
      <c r="AH590" s="222" t="str">
        <f t="shared" si="83"/>
        <v/>
      </c>
      <c r="AI590" s="220">
        <f t="shared" si="88"/>
        <v>4</v>
      </c>
      <c r="AJ590" s="222">
        <f t="shared" si="84"/>
        <v>0</v>
      </c>
      <c r="AK590" s="299" t="str">
        <f>IF(ISERROR(LOOKUP(E590,WKNrListe,Übersicht!$R$7:$R$46)),"-",LOOKUP(E590,WKNrListe,Übersicht!$R$7:$R$46))</f>
        <v>-</v>
      </c>
      <c r="AL590" s="299" t="str">
        <f t="shared" si="87"/>
        <v>-</v>
      </c>
      <c r="AM590" s="303"/>
      <c r="AN590" s="174" t="str">
        <f t="shared" si="80"/>
        <v>Leer</v>
      </c>
    </row>
    <row r="591" spans="1:40" s="174" customFormat="1" ht="15" customHeight="1">
      <c r="A591" s="63"/>
      <c r="B591" s="63"/>
      <c r="C591" s="84"/>
      <c r="D591" s="85"/>
      <c r="E591" s="62"/>
      <c r="F591" s="62"/>
      <c r="G591" s="62"/>
      <c r="H591" s="62"/>
      <c r="I591" s="62"/>
      <c r="J591" s="62"/>
      <c r="K591" s="62"/>
      <c r="L591" s="62"/>
      <c r="M591" s="62"/>
      <c r="N591" s="62"/>
      <c r="O591" s="62"/>
      <c r="P591" s="62"/>
      <c r="Q591" s="62"/>
      <c r="R591" s="62"/>
      <c r="S591" s="258"/>
      <c r="T591" s="248" t="str">
        <f t="shared" si="85"/>
        <v/>
      </c>
      <c r="U591" s="249" t="str">
        <f t="shared" si="86"/>
        <v/>
      </c>
      <c r="V591" s="294" t="str">
        <f t="shared" si="82"/>
        <v/>
      </c>
      <c r="W591" s="294" t="str">
        <f>IF(((E591="")+(F591="")),"",IF(VLOOKUP(F591,Mannschaften!$A$1:$B$54,2,FALSE)&lt;&gt;E591,"Reiter Mannschaften füllen",""))</f>
        <v/>
      </c>
      <c r="X591" s="248" t="str">
        <f>IF(ISBLANK(C591),"",IF((U591&gt;(LOOKUP(E591,WKNrListe,Übersicht!$O$7:$O$46)))+(U591&lt;(LOOKUP(E591,WKNrListe,Übersicht!$P$7:$P$46))),"JG falsch",""))</f>
        <v/>
      </c>
      <c r="Y591" s="255" t="str">
        <f>IF((A591="")*(B591=""),"",IF(ISERROR(MATCH(E591,WKNrListe,0)),"WK falsch",LOOKUP(E591,WKNrListe,Übersicht!$B$7:$B$46)))</f>
        <v/>
      </c>
      <c r="Z591" s="269" t="str">
        <f>IF(((AJ591=0)*(AH591&lt;&gt;"")*(AK591="-"))+((AJ591&lt;&gt;0)*(AH591&lt;&gt;"")*(AK591="-")),IF(AG591="X",Übersicht!$C$70,Übersicht!$C$69),"-")</f>
        <v>-</v>
      </c>
      <c r="AA591" s="252" t="str">
        <f>IF((($A591="")*($B591=""))+((MID($Y591,1,4)&lt;&gt;"Wahl")*(Deckblatt!$C$14='WK-Vorlagen'!$C$82))+(Deckblatt!$C$14&lt;&gt;'WK-Vorlagen'!$C$82),"",IF(ISERROR(MATCH(VALUE(MID(G591,1,2)),Schwierigkeitsstufen!$G$7:$G$19,0)),"Gerät falsch",LOOKUP(VALUE(MID(G591,1,2)),Schwierigkeitsstufen!$G$7:$G$19,Schwierigkeitsstufen!$H$7:$H$19)))</f>
        <v/>
      </c>
      <c r="AB591" s="250" t="str">
        <f>IF((($A591="")*($B591=""))+((MID($Y591,1,4)&lt;&gt;"Wahl")*(Deckblatt!$C$14='WK-Vorlagen'!$C$82))+(Deckblatt!$C$14&lt;&gt;'WK-Vorlagen'!$C$82),"",IF(ISERROR(MATCH(VALUE(MID(H591,1,2)),Schwierigkeitsstufen!$G$7:$G$19,0)),"Gerät falsch",LOOKUP(VALUE(MID(H591,1,2)),Schwierigkeitsstufen!$G$7:$G$19,Schwierigkeitsstufen!$H$7:$H$19)))</f>
        <v/>
      </c>
      <c r="AC591" s="250" t="str">
        <f>IF((($A591="")*($B591=""))+((MID($Y591,1,4)&lt;&gt;"Wahl")*(Deckblatt!$C$14='WK-Vorlagen'!$C$82))+(Deckblatt!$C$14&lt;&gt;'WK-Vorlagen'!$C$82),"",IF(ISERROR(MATCH(VALUE(MID(I591,1,2)),Schwierigkeitsstufen!$G$7:$G$19,0)),"Gerät falsch",LOOKUP(VALUE(MID(I591,1,2)),Schwierigkeitsstufen!$G$7:$G$19,Schwierigkeitsstufen!$H$7:$H$19)))</f>
        <v/>
      </c>
      <c r="AD591" s="251" t="str">
        <f>IF((($A591="")*($B591=""))+((MID($Y591,1,4)&lt;&gt;"Wahl")*(Deckblatt!$C$14='WK-Vorlagen'!$C$82))+(Deckblatt!$C$14&lt;&gt;'WK-Vorlagen'!$C$82),"",IF(ISERROR(MATCH(VALUE(MID(J591,1,2)),Schwierigkeitsstufen!$G$7:$G$19,0)),"Gerät falsch",LOOKUP(VALUE(MID(J591,1,2)),Schwierigkeitsstufen!$G$7:$G$19,Schwierigkeitsstufen!$H$7:$H$19)))</f>
        <v/>
      </c>
      <c r="AE591" s="211"/>
      <c r="AG591" s="221" t="str">
        <f t="shared" si="81"/>
        <v/>
      </c>
      <c r="AH591" s="222" t="str">
        <f t="shared" si="83"/>
        <v/>
      </c>
      <c r="AI591" s="220">
        <f t="shared" si="88"/>
        <v>4</v>
      </c>
      <c r="AJ591" s="222">
        <f t="shared" si="84"/>
        <v>0</v>
      </c>
      <c r="AK591" s="299" t="str">
        <f>IF(ISERROR(LOOKUP(E591,WKNrListe,Übersicht!$R$7:$R$46)),"-",LOOKUP(E591,WKNrListe,Übersicht!$R$7:$R$46))</f>
        <v>-</v>
      </c>
      <c r="AL591" s="299" t="str">
        <f t="shared" si="87"/>
        <v>-</v>
      </c>
      <c r="AM591" s="303"/>
      <c r="AN591" s="174" t="str">
        <f t="shared" si="80"/>
        <v>Leer</v>
      </c>
    </row>
    <row r="592" spans="1:40" s="174" customFormat="1" ht="15" customHeight="1">
      <c r="A592" s="63"/>
      <c r="B592" s="63"/>
      <c r="C592" s="84"/>
      <c r="D592" s="85"/>
      <c r="E592" s="62"/>
      <c r="F592" s="62"/>
      <c r="G592" s="62"/>
      <c r="H592" s="62"/>
      <c r="I592" s="62"/>
      <c r="J592" s="62"/>
      <c r="K592" s="62"/>
      <c r="L592" s="62"/>
      <c r="M592" s="62"/>
      <c r="N592" s="62"/>
      <c r="O592" s="62"/>
      <c r="P592" s="62"/>
      <c r="Q592" s="62"/>
      <c r="R592" s="62"/>
      <c r="S592" s="258"/>
      <c r="T592" s="248" t="str">
        <f t="shared" si="85"/>
        <v/>
      </c>
      <c r="U592" s="249" t="str">
        <f t="shared" si="86"/>
        <v/>
      </c>
      <c r="V592" s="294" t="str">
        <f t="shared" si="82"/>
        <v/>
      </c>
      <c r="W592" s="294" t="str">
        <f>IF(((E592="")+(F592="")),"",IF(VLOOKUP(F592,Mannschaften!$A$1:$B$54,2,FALSE)&lt;&gt;E592,"Reiter Mannschaften füllen",""))</f>
        <v/>
      </c>
      <c r="X592" s="248" t="str">
        <f>IF(ISBLANK(C592),"",IF((U592&gt;(LOOKUP(E592,WKNrListe,Übersicht!$O$7:$O$46)))+(U592&lt;(LOOKUP(E592,WKNrListe,Übersicht!$P$7:$P$46))),"JG falsch",""))</f>
        <v/>
      </c>
      <c r="Y592" s="255" t="str">
        <f>IF((A592="")*(B592=""),"",IF(ISERROR(MATCH(E592,WKNrListe,0)),"WK falsch",LOOKUP(E592,WKNrListe,Übersicht!$B$7:$B$46)))</f>
        <v/>
      </c>
      <c r="Z592" s="269" t="str">
        <f>IF(((AJ592=0)*(AH592&lt;&gt;"")*(AK592="-"))+((AJ592&lt;&gt;0)*(AH592&lt;&gt;"")*(AK592="-")),IF(AG592="X",Übersicht!$C$70,Übersicht!$C$69),"-")</f>
        <v>-</v>
      </c>
      <c r="AA592" s="252" t="str">
        <f>IF((($A592="")*($B592=""))+((MID($Y592,1,4)&lt;&gt;"Wahl")*(Deckblatt!$C$14='WK-Vorlagen'!$C$82))+(Deckblatt!$C$14&lt;&gt;'WK-Vorlagen'!$C$82),"",IF(ISERROR(MATCH(VALUE(MID(G592,1,2)),Schwierigkeitsstufen!$G$7:$G$19,0)),"Gerät falsch",LOOKUP(VALUE(MID(G592,1,2)),Schwierigkeitsstufen!$G$7:$G$19,Schwierigkeitsstufen!$H$7:$H$19)))</f>
        <v/>
      </c>
      <c r="AB592" s="250" t="str">
        <f>IF((($A592="")*($B592=""))+((MID($Y592,1,4)&lt;&gt;"Wahl")*(Deckblatt!$C$14='WK-Vorlagen'!$C$82))+(Deckblatt!$C$14&lt;&gt;'WK-Vorlagen'!$C$82),"",IF(ISERROR(MATCH(VALUE(MID(H592,1,2)),Schwierigkeitsstufen!$G$7:$G$19,0)),"Gerät falsch",LOOKUP(VALUE(MID(H592,1,2)),Schwierigkeitsstufen!$G$7:$G$19,Schwierigkeitsstufen!$H$7:$H$19)))</f>
        <v/>
      </c>
      <c r="AC592" s="250" t="str">
        <f>IF((($A592="")*($B592=""))+((MID($Y592,1,4)&lt;&gt;"Wahl")*(Deckblatt!$C$14='WK-Vorlagen'!$C$82))+(Deckblatt!$C$14&lt;&gt;'WK-Vorlagen'!$C$82),"",IF(ISERROR(MATCH(VALUE(MID(I592,1,2)),Schwierigkeitsstufen!$G$7:$G$19,0)),"Gerät falsch",LOOKUP(VALUE(MID(I592,1,2)),Schwierigkeitsstufen!$G$7:$G$19,Schwierigkeitsstufen!$H$7:$H$19)))</f>
        <v/>
      </c>
      <c r="AD592" s="251" t="str">
        <f>IF((($A592="")*($B592=""))+((MID($Y592,1,4)&lt;&gt;"Wahl")*(Deckblatt!$C$14='WK-Vorlagen'!$C$82))+(Deckblatt!$C$14&lt;&gt;'WK-Vorlagen'!$C$82),"",IF(ISERROR(MATCH(VALUE(MID(J592,1,2)),Schwierigkeitsstufen!$G$7:$G$19,0)),"Gerät falsch",LOOKUP(VALUE(MID(J592,1,2)),Schwierigkeitsstufen!$G$7:$G$19,Schwierigkeitsstufen!$H$7:$H$19)))</f>
        <v/>
      </c>
      <c r="AE592" s="211"/>
      <c r="AG592" s="221" t="str">
        <f t="shared" si="81"/>
        <v/>
      </c>
      <c r="AH592" s="222" t="str">
        <f t="shared" si="83"/>
        <v/>
      </c>
      <c r="AI592" s="220">
        <f t="shared" si="88"/>
        <v>4</v>
      </c>
      <c r="AJ592" s="222">
        <f t="shared" si="84"/>
        <v>0</v>
      </c>
      <c r="AK592" s="299" t="str">
        <f>IF(ISERROR(LOOKUP(E592,WKNrListe,Übersicht!$R$7:$R$46)),"-",LOOKUP(E592,WKNrListe,Übersicht!$R$7:$R$46))</f>
        <v>-</v>
      </c>
      <c r="AL592" s="299" t="str">
        <f t="shared" si="87"/>
        <v>-</v>
      </c>
      <c r="AM592" s="303"/>
      <c r="AN592" s="174" t="str">
        <f t="shared" si="80"/>
        <v>Leer</v>
      </c>
    </row>
    <row r="593" spans="1:40" s="174" customFormat="1" ht="15" customHeight="1">
      <c r="A593" s="63"/>
      <c r="B593" s="63"/>
      <c r="C593" s="84"/>
      <c r="D593" s="85"/>
      <c r="E593" s="62"/>
      <c r="F593" s="62"/>
      <c r="G593" s="62"/>
      <c r="H593" s="62"/>
      <c r="I593" s="62"/>
      <c r="J593" s="62"/>
      <c r="K593" s="62"/>
      <c r="L593" s="62"/>
      <c r="M593" s="62"/>
      <c r="N593" s="62"/>
      <c r="O593" s="62"/>
      <c r="P593" s="62"/>
      <c r="Q593" s="62"/>
      <c r="R593" s="62"/>
      <c r="S593" s="258"/>
      <c r="T593" s="248" t="str">
        <f t="shared" si="85"/>
        <v/>
      </c>
      <c r="U593" s="249" t="str">
        <f t="shared" si="86"/>
        <v/>
      </c>
      <c r="V593" s="294" t="str">
        <f t="shared" si="82"/>
        <v/>
      </c>
      <c r="W593" s="294" t="str">
        <f>IF(((E593="")+(F593="")),"",IF(VLOOKUP(F593,Mannschaften!$A$1:$B$54,2,FALSE)&lt;&gt;E593,"Reiter Mannschaften füllen",""))</f>
        <v/>
      </c>
      <c r="X593" s="248" t="str">
        <f>IF(ISBLANK(C593),"",IF((U593&gt;(LOOKUP(E593,WKNrListe,Übersicht!$O$7:$O$46)))+(U593&lt;(LOOKUP(E593,WKNrListe,Übersicht!$P$7:$P$46))),"JG falsch",""))</f>
        <v/>
      </c>
      <c r="Y593" s="255" t="str">
        <f>IF((A593="")*(B593=""),"",IF(ISERROR(MATCH(E593,WKNrListe,0)),"WK falsch",LOOKUP(E593,WKNrListe,Übersicht!$B$7:$B$46)))</f>
        <v/>
      </c>
      <c r="Z593" s="269" t="str">
        <f>IF(((AJ593=0)*(AH593&lt;&gt;"")*(AK593="-"))+((AJ593&lt;&gt;0)*(AH593&lt;&gt;"")*(AK593="-")),IF(AG593="X",Übersicht!$C$70,Übersicht!$C$69),"-")</f>
        <v>-</v>
      </c>
      <c r="AA593" s="252" t="str">
        <f>IF((($A593="")*($B593=""))+((MID($Y593,1,4)&lt;&gt;"Wahl")*(Deckblatt!$C$14='WK-Vorlagen'!$C$82))+(Deckblatt!$C$14&lt;&gt;'WK-Vorlagen'!$C$82),"",IF(ISERROR(MATCH(VALUE(MID(G593,1,2)),Schwierigkeitsstufen!$G$7:$G$19,0)),"Gerät falsch",LOOKUP(VALUE(MID(G593,1,2)),Schwierigkeitsstufen!$G$7:$G$19,Schwierigkeitsstufen!$H$7:$H$19)))</f>
        <v/>
      </c>
      <c r="AB593" s="250" t="str">
        <f>IF((($A593="")*($B593=""))+((MID($Y593,1,4)&lt;&gt;"Wahl")*(Deckblatt!$C$14='WK-Vorlagen'!$C$82))+(Deckblatt!$C$14&lt;&gt;'WK-Vorlagen'!$C$82),"",IF(ISERROR(MATCH(VALUE(MID(H593,1,2)),Schwierigkeitsstufen!$G$7:$G$19,0)),"Gerät falsch",LOOKUP(VALUE(MID(H593,1,2)),Schwierigkeitsstufen!$G$7:$G$19,Schwierigkeitsstufen!$H$7:$H$19)))</f>
        <v/>
      </c>
      <c r="AC593" s="250" t="str">
        <f>IF((($A593="")*($B593=""))+((MID($Y593,1,4)&lt;&gt;"Wahl")*(Deckblatt!$C$14='WK-Vorlagen'!$C$82))+(Deckblatt!$C$14&lt;&gt;'WK-Vorlagen'!$C$82),"",IF(ISERROR(MATCH(VALUE(MID(I593,1,2)),Schwierigkeitsstufen!$G$7:$G$19,0)),"Gerät falsch",LOOKUP(VALUE(MID(I593,1,2)),Schwierigkeitsstufen!$G$7:$G$19,Schwierigkeitsstufen!$H$7:$H$19)))</f>
        <v/>
      </c>
      <c r="AD593" s="251" t="str">
        <f>IF((($A593="")*($B593=""))+((MID($Y593,1,4)&lt;&gt;"Wahl")*(Deckblatt!$C$14='WK-Vorlagen'!$C$82))+(Deckblatt!$C$14&lt;&gt;'WK-Vorlagen'!$C$82),"",IF(ISERROR(MATCH(VALUE(MID(J593,1,2)),Schwierigkeitsstufen!$G$7:$G$19,0)),"Gerät falsch",LOOKUP(VALUE(MID(J593,1,2)),Schwierigkeitsstufen!$G$7:$G$19,Schwierigkeitsstufen!$H$7:$H$19)))</f>
        <v/>
      </c>
      <c r="AE593" s="211"/>
      <c r="AG593" s="221" t="str">
        <f t="shared" si="81"/>
        <v/>
      </c>
      <c r="AH593" s="222" t="str">
        <f t="shared" si="83"/>
        <v/>
      </c>
      <c r="AI593" s="220">
        <f t="shared" si="88"/>
        <v>4</v>
      </c>
      <c r="AJ593" s="222">
        <f t="shared" si="84"/>
        <v>0</v>
      </c>
      <c r="AK593" s="299" t="str">
        <f>IF(ISERROR(LOOKUP(E593,WKNrListe,Übersicht!$R$7:$R$46)),"-",LOOKUP(E593,WKNrListe,Übersicht!$R$7:$R$46))</f>
        <v>-</v>
      </c>
      <c r="AL593" s="299" t="str">
        <f t="shared" si="87"/>
        <v>-</v>
      </c>
      <c r="AM593" s="303"/>
      <c r="AN593" s="174" t="str">
        <f t="shared" si="80"/>
        <v>Leer</v>
      </c>
    </row>
    <row r="594" spans="1:40" s="174" customFormat="1" ht="15" customHeight="1">
      <c r="A594" s="63"/>
      <c r="B594" s="63"/>
      <c r="C594" s="84"/>
      <c r="D594" s="85"/>
      <c r="E594" s="62"/>
      <c r="F594" s="62"/>
      <c r="G594" s="62"/>
      <c r="H594" s="62"/>
      <c r="I594" s="62"/>
      <c r="J594" s="62"/>
      <c r="K594" s="62"/>
      <c r="L594" s="62"/>
      <c r="M594" s="62"/>
      <c r="N594" s="62"/>
      <c r="O594" s="62"/>
      <c r="P594" s="62"/>
      <c r="Q594" s="62"/>
      <c r="R594" s="62"/>
      <c r="S594" s="258"/>
      <c r="T594" s="248" t="str">
        <f t="shared" si="85"/>
        <v/>
      </c>
      <c r="U594" s="249" t="str">
        <f t="shared" si="86"/>
        <v/>
      </c>
      <c r="V594" s="294" t="str">
        <f t="shared" si="82"/>
        <v/>
      </c>
      <c r="W594" s="294" t="str">
        <f>IF(((E594="")+(F594="")),"",IF(VLOOKUP(F594,Mannschaften!$A$1:$B$54,2,FALSE)&lt;&gt;E594,"Reiter Mannschaften füllen",""))</f>
        <v/>
      </c>
      <c r="X594" s="248" t="str">
        <f>IF(ISBLANK(C594),"",IF((U594&gt;(LOOKUP(E594,WKNrListe,Übersicht!$O$7:$O$46)))+(U594&lt;(LOOKUP(E594,WKNrListe,Übersicht!$P$7:$P$46))),"JG falsch",""))</f>
        <v/>
      </c>
      <c r="Y594" s="255" t="str">
        <f>IF((A594="")*(B594=""),"",IF(ISERROR(MATCH(E594,WKNrListe,0)),"WK falsch",LOOKUP(E594,WKNrListe,Übersicht!$B$7:$B$46)))</f>
        <v/>
      </c>
      <c r="Z594" s="269" t="str">
        <f>IF(((AJ594=0)*(AH594&lt;&gt;"")*(AK594="-"))+((AJ594&lt;&gt;0)*(AH594&lt;&gt;"")*(AK594="-")),IF(AG594="X",Übersicht!$C$70,Übersicht!$C$69),"-")</f>
        <v>-</v>
      </c>
      <c r="AA594" s="252" t="str">
        <f>IF((($A594="")*($B594=""))+((MID($Y594,1,4)&lt;&gt;"Wahl")*(Deckblatt!$C$14='WK-Vorlagen'!$C$82))+(Deckblatt!$C$14&lt;&gt;'WK-Vorlagen'!$C$82),"",IF(ISERROR(MATCH(VALUE(MID(G594,1,2)),Schwierigkeitsstufen!$G$7:$G$19,0)),"Gerät falsch",LOOKUP(VALUE(MID(G594,1,2)),Schwierigkeitsstufen!$G$7:$G$19,Schwierigkeitsstufen!$H$7:$H$19)))</f>
        <v/>
      </c>
      <c r="AB594" s="250" t="str">
        <f>IF((($A594="")*($B594=""))+((MID($Y594,1,4)&lt;&gt;"Wahl")*(Deckblatt!$C$14='WK-Vorlagen'!$C$82))+(Deckblatt!$C$14&lt;&gt;'WK-Vorlagen'!$C$82),"",IF(ISERROR(MATCH(VALUE(MID(H594,1,2)),Schwierigkeitsstufen!$G$7:$G$19,0)),"Gerät falsch",LOOKUP(VALUE(MID(H594,1,2)),Schwierigkeitsstufen!$G$7:$G$19,Schwierigkeitsstufen!$H$7:$H$19)))</f>
        <v/>
      </c>
      <c r="AC594" s="250" t="str">
        <f>IF((($A594="")*($B594=""))+((MID($Y594,1,4)&lt;&gt;"Wahl")*(Deckblatt!$C$14='WK-Vorlagen'!$C$82))+(Deckblatt!$C$14&lt;&gt;'WK-Vorlagen'!$C$82),"",IF(ISERROR(MATCH(VALUE(MID(I594,1,2)),Schwierigkeitsstufen!$G$7:$G$19,0)),"Gerät falsch",LOOKUP(VALUE(MID(I594,1,2)),Schwierigkeitsstufen!$G$7:$G$19,Schwierigkeitsstufen!$H$7:$H$19)))</f>
        <v/>
      </c>
      <c r="AD594" s="251" t="str">
        <f>IF((($A594="")*($B594=""))+((MID($Y594,1,4)&lt;&gt;"Wahl")*(Deckblatt!$C$14='WK-Vorlagen'!$C$82))+(Deckblatt!$C$14&lt;&gt;'WK-Vorlagen'!$C$82),"",IF(ISERROR(MATCH(VALUE(MID(J594,1,2)),Schwierigkeitsstufen!$G$7:$G$19,0)),"Gerät falsch",LOOKUP(VALUE(MID(J594,1,2)),Schwierigkeitsstufen!$G$7:$G$19,Schwierigkeitsstufen!$H$7:$H$19)))</f>
        <v/>
      </c>
      <c r="AE594" s="211"/>
      <c r="AG594" s="221" t="str">
        <f t="shared" si="81"/>
        <v/>
      </c>
      <c r="AH594" s="222" t="str">
        <f t="shared" si="83"/>
        <v/>
      </c>
      <c r="AI594" s="220">
        <f t="shared" si="88"/>
        <v>4</v>
      </c>
      <c r="AJ594" s="222">
        <f t="shared" si="84"/>
        <v>0</v>
      </c>
      <c r="AK594" s="299" t="str">
        <f>IF(ISERROR(LOOKUP(E594,WKNrListe,Übersicht!$R$7:$R$46)),"-",LOOKUP(E594,WKNrListe,Übersicht!$R$7:$R$46))</f>
        <v>-</v>
      </c>
      <c r="AL594" s="299" t="str">
        <f t="shared" si="87"/>
        <v>-</v>
      </c>
      <c r="AM594" s="303"/>
      <c r="AN594" s="174" t="str">
        <f t="shared" si="80"/>
        <v>Leer</v>
      </c>
    </row>
    <row r="595" spans="1:40" s="174" customFormat="1" ht="15" customHeight="1">
      <c r="A595" s="63"/>
      <c r="B595" s="63"/>
      <c r="C595" s="84"/>
      <c r="D595" s="85"/>
      <c r="E595" s="62"/>
      <c r="F595" s="62"/>
      <c r="G595" s="62"/>
      <c r="H595" s="62"/>
      <c r="I595" s="62"/>
      <c r="J595" s="62"/>
      <c r="K595" s="62"/>
      <c r="L595" s="62"/>
      <c r="M595" s="62"/>
      <c r="N595" s="62"/>
      <c r="O595" s="62"/>
      <c r="P595" s="62"/>
      <c r="Q595" s="62"/>
      <c r="R595" s="62"/>
      <c r="S595" s="258"/>
      <c r="T595" s="248" t="str">
        <f t="shared" si="85"/>
        <v/>
      </c>
      <c r="U595" s="249" t="str">
        <f t="shared" si="86"/>
        <v/>
      </c>
      <c r="V595" s="294" t="str">
        <f t="shared" si="82"/>
        <v/>
      </c>
      <c r="W595" s="294" t="str">
        <f>IF(((E595="")+(F595="")),"",IF(VLOOKUP(F595,Mannschaften!$A$1:$B$54,2,FALSE)&lt;&gt;E595,"Reiter Mannschaften füllen",""))</f>
        <v/>
      </c>
      <c r="X595" s="248" t="str">
        <f>IF(ISBLANK(C595),"",IF((U595&gt;(LOOKUP(E595,WKNrListe,Übersicht!$O$7:$O$46)))+(U595&lt;(LOOKUP(E595,WKNrListe,Übersicht!$P$7:$P$46))),"JG falsch",""))</f>
        <v/>
      </c>
      <c r="Y595" s="255" t="str">
        <f>IF((A595="")*(B595=""),"",IF(ISERROR(MATCH(E595,WKNrListe,0)),"WK falsch",LOOKUP(E595,WKNrListe,Übersicht!$B$7:$B$46)))</f>
        <v/>
      </c>
      <c r="Z595" s="269" t="str">
        <f>IF(((AJ595=0)*(AH595&lt;&gt;"")*(AK595="-"))+((AJ595&lt;&gt;0)*(AH595&lt;&gt;"")*(AK595="-")),IF(AG595="X",Übersicht!$C$70,Übersicht!$C$69),"-")</f>
        <v>-</v>
      </c>
      <c r="AA595" s="252" t="str">
        <f>IF((($A595="")*($B595=""))+((MID($Y595,1,4)&lt;&gt;"Wahl")*(Deckblatt!$C$14='WK-Vorlagen'!$C$82))+(Deckblatt!$C$14&lt;&gt;'WK-Vorlagen'!$C$82),"",IF(ISERROR(MATCH(VALUE(MID(G595,1,2)),Schwierigkeitsstufen!$G$7:$G$19,0)),"Gerät falsch",LOOKUP(VALUE(MID(G595,1,2)),Schwierigkeitsstufen!$G$7:$G$19,Schwierigkeitsstufen!$H$7:$H$19)))</f>
        <v/>
      </c>
      <c r="AB595" s="250" t="str">
        <f>IF((($A595="")*($B595=""))+((MID($Y595,1,4)&lt;&gt;"Wahl")*(Deckblatt!$C$14='WK-Vorlagen'!$C$82))+(Deckblatt!$C$14&lt;&gt;'WK-Vorlagen'!$C$82),"",IF(ISERROR(MATCH(VALUE(MID(H595,1,2)),Schwierigkeitsstufen!$G$7:$G$19,0)),"Gerät falsch",LOOKUP(VALUE(MID(H595,1,2)),Schwierigkeitsstufen!$G$7:$G$19,Schwierigkeitsstufen!$H$7:$H$19)))</f>
        <v/>
      </c>
      <c r="AC595" s="250" t="str">
        <f>IF((($A595="")*($B595=""))+((MID($Y595,1,4)&lt;&gt;"Wahl")*(Deckblatt!$C$14='WK-Vorlagen'!$C$82))+(Deckblatt!$C$14&lt;&gt;'WK-Vorlagen'!$C$82),"",IF(ISERROR(MATCH(VALUE(MID(I595,1,2)),Schwierigkeitsstufen!$G$7:$G$19,0)),"Gerät falsch",LOOKUP(VALUE(MID(I595,1,2)),Schwierigkeitsstufen!$G$7:$G$19,Schwierigkeitsstufen!$H$7:$H$19)))</f>
        <v/>
      </c>
      <c r="AD595" s="251" t="str">
        <f>IF((($A595="")*($B595=""))+((MID($Y595,1,4)&lt;&gt;"Wahl")*(Deckblatt!$C$14='WK-Vorlagen'!$C$82))+(Deckblatt!$C$14&lt;&gt;'WK-Vorlagen'!$C$82),"",IF(ISERROR(MATCH(VALUE(MID(J595,1,2)),Schwierigkeitsstufen!$G$7:$G$19,0)),"Gerät falsch",LOOKUP(VALUE(MID(J595,1,2)),Schwierigkeitsstufen!$G$7:$G$19,Schwierigkeitsstufen!$H$7:$H$19)))</f>
        <v/>
      </c>
      <c r="AE595" s="211"/>
      <c r="AG595" s="221" t="str">
        <f t="shared" si="81"/>
        <v/>
      </c>
      <c r="AH595" s="222" t="str">
        <f t="shared" si="83"/>
        <v/>
      </c>
      <c r="AI595" s="220">
        <f t="shared" si="88"/>
        <v>4</v>
      </c>
      <c r="AJ595" s="222">
        <f t="shared" si="84"/>
        <v>0</v>
      </c>
      <c r="AK595" s="299" t="str">
        <f>IF(ISERROR(LOOKUP(E595,WKNrListe,Übersicht!$R$7:$R$46)),"-",LOOKUP(E595,WKNrListe,Übersicht!$R$7:$R$46))</f>
        <v>-</v>
      </c>
      <c r="AL595" s="299" t="str">
        <f t="shared" si="87"/>
        <v>-</v>
      </c>
      <c r="AM595" s="303"/>
      <c r="AN595" s="174" t="str">
        <f t="shared" si="80"/>
        <v>Leer</v>
      </c>
    </row>
    <row r="596" spans="1:40" s="174" customFormat="1" ht="15" customHeight="1">
      <c r="A596" s="63"/>
      <c r="B596" s="63"/>
      <c r="C596" s="84"/>
      <c r="D596" s="85"/>
      <c r="E596" s="62"/>
      <c r="F596" s="62"/>
      <c r="G596" s="62"/>
      <c r="H596" s="62"/>
      <c r="I596" s="62"/>
      <c r="J596" s="62"/>
      <c r="K596" s="62"/>
      <c r="L596" s="62"/>
      <c r="M596" s="62"/>
      <c r="N596" s="62"/>
      <c r="O596" s="62"/>
      <c r="P596" s="62"/>
      <c r="Q596" s="62"/>
      <c r="R596" s="62"/>
      <c r="S596" s="258"/>
      <c r="T596" s="248" t="str">
        <f t="shared" si="85"/>
        <v/>
      </c>
      <c r="U596" s="249" t="str">
        <f t="shared" si="86"/>
        <v/>
      </c>
      <c r="V596" s="294" t="str">
        <f t="shared" si="82"/>
        <v/>
      </c>
      <c r="W596" s="294" t="str">
        <f>IF(((E596="")+(F596="")),"",IF(VLOOKUP(F596,Mannschaften!$A$1:$B$54,2,FALSE)&lt;&gt;E596,"Reiter Mannschaften füllen",""))</f>
        <v/>
      </c>
      <c r="X596" s="248" t="str">
        <f>IF(ISBLANK(C596),"",IF((U596&gt;(LOOKUP(E596,WKNrListe,Übersicht!$O$7:$O$46)))+(U596&lt;(LOOKUP(E596,WKNrListe,Übersicht!$P$7:$P$46))),"JG falsch",""))</f>
        <v/>
      </c>
      <c r="Y596" s="255" t="str">
        <f>IF((A596="")*(B596=""),"",IF(ISERROR(MATCH(E596,WKNrListe,0)),"WK falsch",LOOKUP(E596,WKNrListe,Übersicht!$B$7:$B$46)))</f>
        <v/>
      </c>
      <c r="Z596" s="269" t="str">
        <f>IF(((AJ596=0)*(AH596&lt;&gt;"")*(AK596="-"))+((AJ596&lt;&gt;0)*(AH596&lt;&gt;"")*(AK596="-")),IF(AG596="X",Übersicht!$C$70,Übersicht!$C$69),"-")</f>
        <v>-</v>
      </c>
      <c r="AA596" s="252" t="str">
        <f>IF((($A596="")*($B596=""))+((MID($Y596,1,4)&lt;&gt;"Wahl")*(Deckblatt!$C$14='WK-Vorlagen'!$C$82))+(Deckblatt!$C$14&lt;&gt;'WK-Vorlagen'!$C$82),"",IF(ISERROR(MATCH(VALUE(MID(G596,1,2)),Schwierigkeitsstufen!$G$7:$G$19,0)),"Gerät falsch",LOOKUP(VALUE(MID(G596,1,2)),Schwierigkeitsstufen!$G$7:$G$19,Schwierigkeitsstufen!$H$7:$H$19)))</f>
        <v/>
      </c>
      <c r="AB596" s="250" t="str">
        <f>IF((($A596="")*($B596=""))+((MID($Y596,1,4)&lt;&gt;"Wahl")*(Deckblatt!$C$14='WK-Vorlagen'!$C$82))+(Deckblatt!$C$14&lt;&gt;'WK-Vorlagen'!$C$82),"",IF(ISERROR(MATCH(VALUE(MID(H596,1,2)),Schwierigkeitsstufen!$G$7:$G$19,0)),"Gerät falsch",LOOKUP(VALUE(MID(H596,1,2)),Schwierigkeitsstufen!$G$7:$G$19,Schwierigkeitsstufen!$H$7:$H$19)))</f>
        <v/>
      </c>
      <c r="AC596" s="250" t="str">
        <f>IF((($A596="")*($B596=""))+((MID($Y596,1,4)&lt;&gt;"Wahl")*(Deckblatt!$C$14='WK-Vorlagen'!$C$82))+(Deckblatt!$C$14&lt;&gt;'WK-Vorlagen'!$C$82),"",IF(ISERROR(MATCH(VALUE(MID(I596,1,2)),Schwierigkeitsstufen!$G$7:$G$19,0)),"Gerät falsch",LOOKUP(VALUE(MID(I596,1,2)),Schwierigkeitsstufen!$G$7:$G$19,Schwierigkeitsstufen!$H$7:$H$19)))</f>
        <v/>
      </c>
      <c r="AD596" s="251" t="str">
        <f>IF((($A596="")*($B596=""))+((MID($Y596,1,4)&lt;&gt;"Wahl")*(Deckblatt!$C$14='WK-Vorlagen'!$C$82))+(Deckblatt!$C$14&lt;&gt;'WK-Vorlagen'!$C$82),"",IF(ISERROR(MATCH(VALUE(MID(J596,1,2)),Schwierigkeitsstufen!$G$7:$G$19,0)),"Gerät falsch",LOOKUP(VALUE(MID(J596,1,2)),Schwierigkeitsstufen!$G$7:$G$19,Schwierigkeitsstufen!$H$7:$H$19)))</f>
        <v/>
      </c>
      <c r="AE596" s="211"/>
      <c r="AG596" s="221" t="str">
        <f t="shared" si="81"/>
        <v/>
      </c>
      <c r="AH596" s="222" t="str">
        <f t="shared" si="83"/>
        <v/>
      </c>
      <c r="AI596" s="220">
        <f t="shared" si="88"/>
        <v>4</v>
      </c>
      <c r="AJ596" s="222">
        <f t="shared" si="84"/>
        <v>0</v>
      </c>
      <c r="AK596" s="299" t="str">
        <f>IF(ISERROR(LOOKUP(E596,WKNrListe,Übersicht!$R$7:$R$46)),"-",LOOKUP(E596,WKNrListe,Übersicht!$R$7:$R$46))</f>
        <v>-</v>
      </c>
      <c r="AL596" s="299" t="str">
        <f t="shared" si="87"/>
        <v>-</v>
      </c>
      <c r="AM596" s="303"/>
      <c r="AN596" s="174" t="str">
        <f t="shared" si="80"/>
        <v>Leer</v>
      </c>
    </row>
    <row r="597" spans="1:40" s="174" customFormat="1" ht="15" customHeight="1">
      <c r="A597" s="63"/>
      <c r="B597" s="63"/>
      <c r="C597" s="84"/>
      <c r="D597" s="85"/>
      <c r="E597" s="62"/>
      <c r="F597" s="62"/>
      <c r="G597" s="62"/>
      <c r="H597" s="62"/>
      <c r="I597" s="62"/>
      <c r="J597" s="62"/>
      <c r="K597" s="62"/>
      <c r="L597" s="62"/>
      <c r="M597" s="62"/>
      <c r="N597" s="62"/>
      <c r="O597" s="62"/>
      <c r="P597" s="62"/>
      <c r="Q597" s="62"/>
      <c r="R597" s="62"/>
      <c r="S597" s="258"/>
      <c r="T597" s="248" t="str">
        <f t="shared" si="85"/>
        <v/>
      </c>
      <c r="U597" s="249" t="str">
        <f t="shared" si="86"/>
        <v/>
      </c>
      <c r="V597" s="294" t="str">
        <f t="shared" si="82"/>
        <v/>
      </c>
      <c r="W597" s="294" t="str">
        <f>IF(((E597="")+(F597="")),"",IF(VLOOKUP(F597,Mannschaften!$A$1:$B$54,2,FALSE)&lt;&gt;E597,"Reiter Mannschaften füllen",""))</f>
        <v/>
      </c>
      <c r="X597" s="248" t="str">
        <f>IF(ISBLANK(C597),"",IF((U597&gt;(LOOKUP(E597,WKNrListe,Übersicht!$O$7:$O$46)))+(U597&lt;(LOOKUP(E597,WKNrListe,Übersicht!$P$7:$P$46))),"JG falsch",""))</f>
        <v/>
      </c>
      <c r="Y597" s="255" t="str">
        <f>IF((A597="")*(B597=""),"",IF(ISERROR(MATCH(E597,WKNrListe,0)),"WK falsch",LOOKUP(E597,WKNrListe,Übersicht!$B$7:$B$46)))</f>
        <v/>
      </c>
      <c r="Z597" s="269" t="str">
        <f>IF(((AJ597=0)*(AH597&lt;&gt;"")*(AK597="-"))+((AJ597&lt;&gt;0)*(AH597&lt;&gt;"")*(AK597="-")),IF(AG597="X",Übersicht!$C$70,Übersicht!$C$69),"-")</f>
        <v>-</v>
      </c>
      <c r="AA597" s="252" t="str">
        <f>IF((($A597="")*($B597=""))+((MID($Y597,1,4)&lt;&gt;"Wahl")*(Deckblatt!$C$14='WK-Vorlagen'!$C$82))+(Deckblatt!$C$14&lt;&gt;'WK-Vorlagen'!$C$82),"",IF(ISERROR(MATCH(VALUE(MID(G597,1,2)),Schwierigkeitsstufen!$G$7:$G$19,0)),"Gerät falsch",LOOKUP(VALUE(MID(G597,1,2)),Schwierigkeitsstufen!$G$7:$G$19,Schwierigkeitsstufen!$H$7:$H$19)))</f>
        <v/>
      </c>
      <c r="AB597" s="250" t="str">
        <f>IF((($A597="")*($B597=""))+((MID($Y597,1,4)&lt;&gt;"Wahl")*(Deckblatt!$C$14='WK-Vorlagen'!$C$82))+(Deckblatt!$C$14&lt;&gt;'WK-Vorlagen'!$C$82),"",IF(ISERROR(MATCH(VALUE(MID(H597,1,2)),Schwierigkeitsstufen!$G$7:$G$19,0)),"Gerät falsch",LOOKUP(VALUE(MID(H597,1,2)),Schwierigkeitsstufen!$G$7:$G$19,Schwierigkeitsstufen!$H$7:$H$19)))</f>
        <v/>
      </c>
      <c r="AC597" s="250" t="str">
        <f>IF((($A597="")*($B597=""))+((MID($Y597,1,4)&lt;&gt;"Wahl")*(Deckblatt!$C$14='WK-Vorlagen'!$C$82))+(Deckblatt!$C$14&lt;&gt;'WK-Vorlagen'!$C$82),"",IF(ISERROR(MATCH(VALUE(MID(I597,1,2)),Schwierigkeitsstufen!$G$7:$G$19,0)),"Gerät falsch",LOOKUP(VALUE(MID(I597,1,2)),Schwierigkeitsstufen!$G$7:$G$19,Schwierigkeitsstufen!$H$7:$H$19)))</f>
        <v/>
      </c>
      <c r="AD597" s="251" t="str">
        <f>IF((($A597="")*($B597=""))+((MID($Y597,1,4)&lt;&gt;"Wahl")*(Deckblatt!$C$14='WK-Vorlagen'!$C$82))+(Deckblatt!$C$14&lt;&gt;'WK-Vorlagen'!$C$82),"",IF(ISERROR(MATCH(VALUE(MID(J597,1,2)),Schwierigkeitsstufen!$G$7:$G$19,0)),"Gerät falsch",LOOKUP(VALUE(MID(J597,1,2)),Schwierigkeitsstufen!$G$7:$G$19,Schwierigkeitsstufen!$H$7:$H$19)))</f>
        <v/>
      </c>
      <c r="AE597" s="211"/>
      <c r="AG597" s="221" t="str">
        <f t="shared" si="81"/>
        <v/>
      </c>
      <c r="AH597" s="222" t="str">
        <f t="shared" si="83"/>
        <v/>
      </c>
      <c r="AI597" s="220">
        <f t="shared" si="88"/>
        <v>4</v>
      </c>
      <c r="AJ597" s="222">
        <f t="shared" si="84"/>
        <v>0</v>
      </c>
      <c r="AK597" s="299" t="str">
        <f>IF(ISERROR(LOOKUP(E597,WKNrListe,Übersicht!$R$7:$R$46)),"-",LOOKUP(E597,WKNrListe,Übersicht!$R$7:$R$46))</f>
        <v>-</v>
      </c>
      <c r="AL597" s="299" t="str">
        <f t="shared" si="87"/>
        <v>-</v>
      </c>
      <c r="AM597" s="303"/>
      <c r="AN597" s="174" t="str">
        <f t="shared" si="80"/>
        <v>Leer</v>
      </c>
    </row>
    <row r="598" spans="1:40" s="174" customFormat="1" ht="15" customHeight="1">
      <c r="A598" s="63"/>
      <c r="B598" s="63"/>
      <c r="C598" s="84"/>
      <c r="D598" s="85"/>
      <c r="E598" s="62"/>
      <c r="F598" s="62"/>
      <c r="G598" s="62"/>
      <c r="H598" s="62"/>
      <c r="I598" s="62"/>
      <c r="J598" s="62"/>
      <c r="K598" s="62"/>
      <c r="L598" s="62"/>
      <c r="M598" s="62"/>
      <c r="N598" s="62"/>
      <c r="O598" s="62"/>
      <c r="P598" s="62"/>
      <c r="Q598" s="62"/>
      <c r="R598" s="62"/>
      <c r="S598" s="258"/>
      <c r="T598" s="248" t="str">
        <f t="shared" si="85"/>
        <v/>
      </c>
      <c r="U598" s="249" t="str">
        <f t="shared" si="86"/>
        <v/>
      </c>
      <c r="V598" s="294" t="str">
        <f t="shared" si="82"/>
        <v/>
      </c>
      <c r="W598" s="294" t="str">
        <f>IF(((E598="")+(F598="")),"",IF(VLOOKUP(F598,Mannschaften!$A$1:$B$54,2,FALSE)&lt;&gt;E598,"Reiter Mannschaften füllen",""))</f>
        <v/>
      </c>
      <c r="X598" s="248" t="str">
        <f>IF(ISBLANK(C598),"",IF((U598&gt;(LOOKUP(E598,WKNrListe,Übersicht!$O$7:$O$46)))+(U598&lt;(LOOKUP(E598,WKNrListe,Übersicht!$P$7:$P$46))),"JG falsch",""))</f>
        <v/>
      </c>
      <c r="Y598" s="255" t="str">
        <f>IF((A598="")*(B598=""),"",IF(ISERROR(MATCH(E598,WKNrListe,0)),"WK falsch",LOOKUP(E598,WKNrListe,Übersicht!$B$7:$B$46)))</f>
        <v/>
      </c>
      <c r="Z598" s="269" t="str">
        <f>IF(((AJ598=0)*(AH598&lt;&gt;"")*(AK598="-"))+((AJ598&lt;&gt;0)*(AH598&lt;&gt;"")*(AK598="-")),IF(AG598="X",Übersicht!$C$70,Übersicht!$C$69),"-")</f>
        <v>-</v>
      </c>
      <c r="AA598" s="252" t="str">
        <f>IF((($A598="")*($B598=""))+((MID($Y598,1,4)&lt;&gt;"Wahl")*(Deckblatt!$C$14='WK-Vorlagen'!$C$82))+(Deckblatt!$C$14&lt;&gt;'WK-Vorlagen'!$C$82),"",IF(ISERROR(MATCH(VALUE(MID(G598,1,2)),Schwierigkeitsstufen!$G$7:$G$19,0)),"Gerät falsch",LOOKUP(VALUE(MID(G598,1,2)),Schwierigkeitsstufen!$G$7:$G$19,Schwierigkeitsstufen!$H$7:$H$19)))</f>
        <v/>
      </c>
      <c r="AB598" s="250" t="str">
        <f>IF((($A598="")*($B598=""))+((MID($Y598,1,4)&lt;&gt;"Wahl")*(Deckblatt!$C$14='WK-Vorlagen'!$C$82))+(Deckblatt!$C$14&lt;&gt;'WK-Vorlagen'!$C$82),"",IF(ISERROR(MATCH(VALUE(MID(H598,1,2)),Schwierigkeitsstufen!$G$7:$G$19,0)),"Gerät falsch",LOOKUP(VALUE(MID(H598,1,2)),Schwierigkeitsstufen!$G$7:$G$19,Schwierigkeitsstufen!$H$7:$H$19)))</f>
        <v/>
      </c>
      <c r="AC598" s="250" t="str">
        <f>IF((($A598="")*($B598=""))+((MID($Y598,1,4)&lt;&gt;"Wahl")*(Deckblatt!$C$14='WK-Vorlagen'!$C$82))+(Deckblatt!$C$14&lt;&gt;'WK-Vorlagen'!$C$82),"",IF(ISERROR(MATCH(VALUE(MID(I598,1,2)),Schwierigkeitsstufen!$G$7:$G$19,0)),"Gerät falsch",LOOKUP(VALUE(MID(I598,1,2)),Schwierigkeitsstufen!$G$7:$G$19,Schwierigkeitsstufen!$H$7:$H$19)))</f>
        <v/>
      </c>
      <c r="AD598" s="251" t="str">
        <f>IF((($A598="")*($B598=""))+((MID($Y598,1,4)&lt;&gt;"Wahl")*(Deckblatt!$C$14='WK-Vorlagen'!$C$82))+(Deckblatt!$C$14&lt;&gt;'WK-Vorlagen'!$C$82),"",IF(ISERROR(MATCH(VALUE(MID(J598,1,2)),Schwierigkeitsstufen!$G$7:$G$19,0)),"Gerät falsch",LOOKUP(VALUE(MID(J598,1,2)),Schwierigkeitsstufen!$G$7:$G$19,Schwierigkeitsstufen!$H$7:$H$19)))</f>
        <v/>
      </c>
      <c r="AE598" s="211"/>
      <c r="AG598" s="221" t="str">
        <f t="shared" si="81"/>
        <v/>
      </c>
      <c r="AH598" s="222" t="str">
        <f t="shared" si="83"/>
        <v/>
      </c>
      <c r="AI598" s="220">
        <f t="shared" si="88"/>
        <v>4</v>
      </c>
      <c r="AJ598" s="222">
        <f t="shared" si="84"/>
        <v>0</v>
      </c>
      <c r="AK598" s="299" t="str">
        <f>IF(ISERROR(LOOKUP(E598,WKNrListe,Übersicht!$R$7:$R$46)),"-",LOOKUP(E598,WKNrListe,Übersicht!$R$7:$R$46))</f>
        <v>-</v>
      </c>
      <c r="AL598" s="299" t="str">
        <f t="shared" si="87"/>
        <v>-</v>
      </c>
      <c r="AM598" s="303"/>
      <c r="AN598" s="174" t="str">
        <f t="shared" si="80"/>
        <v>Leer</v>
      </c>
    </row>
    <row r="599" spans="1:40" s="174" customFormat="1" ht="15" customHeight="1">
      <c r="A599" s="63"/>
      <c r="B599" s="63"/>
      <c r="C599" s="84"/>
      <c r="D599" s="85"/>
      <c r="E599" s="62"/>
      <c r="F599" s="62"/>
      <c r="G599" s="62"/>
      <c r="H599" s="62"/>
      <c r="I599" s="62"/>
      <c r="J599" s="62"/>
      <c r="K599" s="62"/>
      <c r="L599" s="62"/>
      <c r="M599" s="62"/>
      <c r="N599" s="62"/>
      <c r="O599" s="62"/>
      <c r="P599" s="62"/>
      <c r="Q599" s="62"/>
      <c r="R599" s="62"/>
      <c r="S599" s="258"/>
      <c r="T599" s="248" t="str">
        <f t="shared" si="85"/>
        <v/>
      </c>
      <c r="U599" s="249" t="str">
        <f t="shared" si="86"/>
        <v/>
      </c>
      <c r="V599" s="294" t="str">
        <f t="shared" si="82"/>
        <v/>
      </c>
      <c r="W599" s="294" t="str">
        <f>IF(((E599="")+(F599="")),"",IF(VLOOKUP(F599,Mannschaften!$A$1:$B$54,2,FALSE)&lt;&gt;E599,"Reiter Mannschaften füllen",""))</f>
        <v/>
      </c>
      <c r="X599" s="248" t="str">
        <f>IF(ISBLANK(C599),"",IF((U599&gt;(LOOKUP(E599,WKNrListe,Übersicht!$O$7:$O$46)))+(U599&lt;(LOOKUP(E599,WKNrListe,Übersicht!$P$7:$P$46))),"JG falsch",""))</f>
        <v/>
      </c>
      <c r="Y599" s="255" t="str">
        <f>IF((A599="")*(B599=""),"",IF(ISERROR(MATCH(E599,WKNrListe,0)),"WK falsch",LOOKUP(E599,WKNrListe,Übersicht!$B$7:$B$46)))</f>
        <v/>
      </c>
      <c r="Z599" s="269" t="str">
        <f>IF(((AJ599=0)*(AH599&lt;&gt;"")*(AK599="-"))+((AJ599&lt;&gt;0)*(AH599&lt;&gt;"")*(AK599="-")),IF(AG599="X",Übersicht!$C$70,Übersicht!$C$69),"-")</f>
        <v>-</v>
      </c>
      <c r="AA599" s="252" t="str">
        <f>IF((($A599="")*($B599=""))+((MID($Y599,1,4)&lt;&gt;"Wahl")*(Deckblatt!$C$14='WK-Vorlagen'!$C$82))+(Deckblatt!$C$14&lt;&gt;'WK-Vorlagen'!$C$82),"",IF(ISERROR(MATCH(VALUE(MID(G599,1,2)),Schwierigkeitsstufen!$G$7:$G$19,0)),"Gerät falsch",LOOKUP(VALUE(MID(G599,1,2)),Schwierigkeitsstufen!$G$7:$G$19,Schwierigkeitsstufen!$H$7:$H$19)))</f>
        <v/>
      </c>
      <c r="AB599" s="250" t="str">
        <f>IF((($A599="")*($B599=""))+((MID($Y599,1,4)&lt;&gt;"Wahl")*(Deckblatt!$C$14='WK-Vorlagen'!$C$82))+(Deckblatt!$C$14&lt;&gt;'WK-Vorlagen'!$C$82),"",IF(ISERROR(MATCH(VALUE(MID(H599,1,2)),Schwierigkeitsstufen!$G$7:$G$19,0)),"Gerät falsch",LOOKUP(VALUE(MID(H599,1,2)),Schwierigkeitsstufen!$G$7:$G$19,Schwierigkeitsstufen!$H$7:$H$19)))</f>
        <v/>
      </c>
      <c r="AC599" s="250" t="str">
        <f>IF((($A599="")*($B599=""))+((MID($Y599,1,4)&lt;&gt;"Wahl")*(Deckblatt!$C$14='WK-Vorlagen'!$C$82))+(Deckblatt!$C$14&lt;&gt;'WK-Vorlagen'!$C$82),"",IF(ISERROR(MATCH(VALUE(MID(I599,1,2)),Schwierigkeitsstufen!$G$7:$G$19,0)),"Gerät falsch",LOOKUP(VALUE(MID(I599,1,2)),Schwierigkeitsstufen!$G$7:$G$19,Schwierigkeitsstufen!$H$7:$H$19)))</f>
        <v/>
      </c>
      <c r="AD599" s="251" t="str">
        <f>IF((($A599="")*($B599=""))+((MID($Y599,1,4)&lt;&gt;"Wahl")*(Deckblatt!$C$14='WK-Vorlagen'!$C$82))+(Deckblatt!$C$14&lt;&gt;'WK-Vorlagen'!$C$82),"",IF(ISERROR(MATCH(VALUE(MID(J599,1,2)),Schwierigkeitsstufen!$G$7:$G$19,0)),"Gerät falsch",LOOKUP(VALUE(MID(J599,1,2)),Schwierigkeitsstufen!$G$7:$G$19,Schwierigkeitsstufen!$H$7:$H$19)))</f>
        <v/>
      </c>
      <c r="AE599" s="211"/>
      <c r="AG599" s="221" t="str">
        <f t="shared" si="81"/>
        <v/>
      </c>
      <c r="AH599" s="222" t="str">
        <f t="shared" si="83"/>
        <v/>
      </c>
      <c r="AI599" s="220">
        <f t="shared" si="88"/>
        <v>4</v>
      </c>
      <c r="AJ599" s="222">
        <f t="shared" si="84"/>
        <v>0</v>
      </c>
      <c r="AK599" s="299" t="str">
        <f>IF(ISERROR(LOOKUP(E599,WKNrListe,Übersicht!$R$7:$R$46)),"-",LOOKUP(E599,WKNrListe,Übersicht!$R$7:$R$46))</f>
        <v>-</v>
      </c>
      <c r="AL599" s="299" t="str">
        <f t="shared" si="87"/>
        <v>-</v>
      </c>
      <c r="AM599" s="303"/>
      <c r="AN599" s="174" t="str">
        <f t="shared" si="80"/>
        <v>Leer</v>
      </c>
    </row>
    <row r="600" spans="1:40" s="174" customFormat="1" ht="15" customHeight="1">
      <c r="A600" s="63"/>
      <c r="B600" s="63"/>
      <c r="C600" s="84"/>
      <c r="D600" s="85"/>
      <c r="E600" s="62"/>
      <c r="F600" s="62"/>
      <c r="G600" s="62"/>
      <c r="H600" s="62"/>
      <c r="I600" s="62"/>
      <c r="J600" s="62"/>
      <c r="K600" s="62"/>
      <c r="L600" s="62"/>
      <c r="M600" s="62"/>
      <c r="N600" s="62"/>
      <c r="O600" s="62"/>
      <c r="P600" s="62"/>
      <c r="Q600" s="62"/>
      <c r="R600" s="62"/>
      <c r="S600" s="258"/>
      <c r="T600" s="248" t="str">
        <f t="shared" si="85"/>
        <v/>
      </c>
      <c r="U600" s="249" t="str">
        <f t="shared" si="86"/>
        <v/>
      </c>
      <c r="V600" s="294" t="str">
        <f t="shared" si="82"/>
        <v/>
      </c>
      <c r="W600" s="294" t="str">
        <f>IF(((E600="")+(F600="")),"",IF(VLOOKUP(F600,Mannschaften!$A$1:$B$54,2,FALSE)&lt;&gt;E600,"Reiter Mannschaften füllen",""))</f>
        <v/>
      </c>
      <c r="X600" s="248" t="str">
        <f>IF(ISBLANK(C600),"",IF((U600&gt;(LOOKUP(E600,WKNrListe,Übersicht!$O$7:$O$46)))+(U600&lt;(LOOKUP(E600,WKNrListe,Übersicht!$P$7:$P$46))),"JG falsch",""))</f>
        <v/>
      </c>
      <c r="Y600" s="255" t="str">
        <f>IF((A600="")*(B600=""),"",IF(ISERROR(MATCH(E600,WKNrListe,0)),"WK falsch",LOOKUP(E600,WKNrListe,Übersicht!$B$7:$B$46)))</f>
        <v/>
      </c>
      <c r="Z600" s="269" t="str">
        <f>IF(((AJ600=0)*(AH600&lt;&gt;"")*(AK600="-"))+((AJ600&lt;&gt;0)*(AH600&lt;&gt;"")*(AK600="-")),IF(AG600="X",Übersicht!$C$70,Übersicht!$C$69),"-")</f>
        <v>-</v>
      </c>
      <c r="AA600" s="252" t="str">
        <f>IF((($A600="")*($B600=""))+((MID($Y600,1,4)&lt;&gt;"Wahl")*(Deckblatt!$C$14='WK-Vorlagen'!$C$82))+(Deckblatt!$C$14&lt;&gt;'WK-Vorlagen'!$C$82),"",IF(ISERROR(MATCH(VALUE(MID(G600,1,2)),Schwierigkeitsstufen!$G$7:$G$19,0)),"Gerät falsch",LOOKUP(VALUE(MID(G600,1,2)),Schwierigkeitsstufen!$G$7:$G$19,Schwierigkeitsstufen!$H$7:$H$19)))</f>
        <v/>
      </c>
      <c r="AB600" s="250" t="str">
        <f>IF((($A600="")*($B600=""))+((MID($Y600,1,4)&lt;&gt;"Wahl")*(Deckblatt!$C$14='WK-Vorlagen'!$C$82))+(Deckblatt!$C$14&lt;&gt;'WK-Vorlagen'!$C$82),"",IF(ISERROR(MATCH(VALUE(MID(H600,1,2)),Schwierigkeitsstufen!$G$7:$G$19,0)),"Gerät falsch",LOOKUP(VALUE(MID(H600,1,2)),Schwierigkeitsstufen!$G$7:$G$19,Schwierigkeitsstufen!$H$7:$H$19)))</f>
        <v/>
      </c>
      <c r="AC600" s="250" t="str">
        <f>IF((($A600="")*($B600=""))+((MID($Y600,1,4)&lt;&gt;"Wahl")*(Deckblatt!$C$14='WK-Vorlagen'!$C$82))+(Deckblatt!$C$14&lt;&gt;'WK-Vorlagen'!$C$82),"",IF(ISERROR(MATCH(VALUE(MID(I600,1,2)),Schwierigkeitsstufen!$G$7:$G$19,0)),"Gerät falsch",LOOKUP(VALUE(MID(I600,1,2)),Schwierigkeitsstufen!$G$7:$G$19,Schwierigkeitsstufen!$H$7:$H$19)))</f>
        <v/>
      </c>
      <c r="AD600" s="251" t="str">
        <f>IF((($A600="")*($B600=""))+((MID($Y600,1,4)&lt;&gt;"Wahl")*(Deckblatt!$C$14='WK-Vorlagen'!$C$82))+(Deckblatt!$C$14&lt;&gt;'WK-Vorlagen'!$C$82),"",IF(ISERROR(MATCH(VALUE(MID(J600,1,2)),Schwierigkeitsstufen!$G$7:$G$19,0)),"Gerät falsch",LOOKUP(VALUE(MID(J600,1,2)),Schwierigkeitsstufen!$G$7:$G$19,Schwierigkeitsstufen!$H$7:$H$19)))</f>
        <v/>
      </c>
      <c r="AE600" s="211"/>
      <c r="AG600" s="221" t="str">
        <f t="shared" si="81"/>
        <v/>
      </c>
      <c r="AH600" s="222" t="str">
        <f t="shared" si="83"/>
        <v/>
      </c>
      <c r="AI600" s="220">
        <f t="shared" si="88"/>
        <v>4</v>
      </c>
      <c r="AJ600" s="222">
        <f t="shared" si="84"/>
        <v>0</v>
      </c>
      <c r="AK600" s="299" t="str">
        <f>IF(ISERROR(LOOKUP(E600,WKNrListe,Übersicht!$R$7:$R$46)),"-",LOOKUP(E600,WKNrListe,Übersicht!$R$7:$R$46))</f>
        <v>-</v>
      </c>
      <c r="AL600" s="299" t="str">
        <f t="shared" si="87"/>
        <v>-</v>
      </c>
      <c r="AM600" s="303"/>
      <c r="AN600" s="174" t="str">
        <f t="shared" si="80"/>
        <v>Leer</v>
      </c>
    </row>
    <row r="601" spans="1:40" s="174" customFormat="1" ht="15" customHeight="1">
      <c r="A601" s="63"/>
      <c r="B601" s="63"/>
      <c r="C601" s="84"/>
      <c r="D601" s="85"/>
      <c r="E601" s="62"/>
      <c r="F601" s="62"/>
      <c r="G601" s="62"/>
      <c r="H601" s="62"/>
      <c r="I601" s="62"/>
      <c r="J601" s="62"/>
      <c r="K601" s="62"/>
      <c r="L601" s="62"/>
      <c r="M601" s="62"/>
      <c r="N601" s="62"/>
      <c r="O601" s="62"/>
      <c r="P601" s="62"/>
      <c r="Q601" s="62"/>
      <c r="R601" s="62"/>
      <c r="S601" s="258"/>
      <c r="T601" s="248" t="str">
        <f t="shared" si="85"/>
        <v/>
      </c>
      <c r="U601" s="249" t="str">
        <f t="shared" si="86"/>
        <v/>
      </c>
      <c r="V601" s="294" t="str">
        <f t="shared" si="82"/>
        <v/>
      </c>
      <c r="W601" s="294" t="str">
        <f>IF(((E601="")+(F601="")),"",IF(VLOOKUP(F601,Mannschaften!$A$1:$B$54,2,FALSE)&lt;&gt;E601,"Reiter Mannschaften füllen",""))</f>
        <v/>
      </c>
      <c r="X601" s="248" t="str">
        <f>IF(ISBLANK(C601),"",IF((U601&gt;(LOOKUP(E601,WKNrListe,Übersicht!$O$7:$O$46)))+(U601&lt;(LOOKUP(E601,WKNrListe,Übersicht!$P$7:$P$46))),"JG falsch",""))</f>
        <v/>
      </c>
      <c r="Y601" s="255" t="str">
        <f>IF((A601="")*(B601=""),"",IF(ISERROR(MATCH(E601,WKNrListe,0)),"WK falsch",LOOKUP(E601,WKNrListe,Übersicht!$B$7:$B$46)))</f>
        <v/>
      </c>
      <c r="Z601" s="269" t="str">
        <f>IF(((AJ601=0)*(AH601&lt;&gt;"")*(AK601="-"))+((AJ601&lt;&gt;0)*(AH601&lt;&gt;"")*(AK601="-")),IF(AG601="X",Übersicht!$C$70,Übersicht!$C$69),"-")</f>
        <v>-</v>
      </c>
      <c r="AA601" s="252" t="str">
        <f>IF((($A601="")*($B601=""))+((MID($Y601,1,4)&lt;&gt;"Wahl")*(Deckblatt!$C$14='WK-Vorlagen'!$C$82))+(Deckblatt!$C$14&lt;&gt;'WK-Vorlagen'!$C$82),"",IF(ISERROR(MATCH(VALUE(MID(G601,1,2)),Schwierigkeitsstufen!$G$7:$G$19,0)),"Gerät falsch",LOOKUP(VALUE(MID(G601,1,2)),Schwierigkeitsstufen!$G$7:$G$19,Schwierigkeitsstufen!$H$7:$H$19)))</f>
        <v/>
      </c>
      <c r="AB601" s="250" t="str">
        <f>IF((($A601="")*($B601=""))+((MID($Y601,1,4)&lt;&gt;"Wahl")*(Deckblatt!$C$14='WK-Vorlagen'!$C$82))+(Deckblatt!$C$14&lt;&gt;'WK-Vorlagen'!$C$82),"",IF(ISERROR(MATCH(VALUE(MID(H601,1,2)),Schwierigkeitsstufen!$G$7:$G$19,0)),"Gerät falsch",LOOKUP(VALUE(MID(H601,1,2)),Schwierigkeitsstufen!$G$7:$G$19,Schwierigkeitsstufen!$H$7:$H$19)))</f>
        <v/>
      </c>
      <c r="AC601" s="250" t="str">
        <f>IF((($A601="")*($B601=""))+((MID($Y601,1,4)&lt;&gt;"Wahl")*(Deckblatt!$C$14='WK-Vorlagen'!$C$82))+(Deckblatt!$C$14&lt;&gt;'WK-Vorlagen'!$C$82),"",IF(ISERROR(MATCH(VALUE(MID(I601,1,2)),Schwierigkeitsstufen!$G$7:$G$19,0)),"Gerät falsch",LOOKUP(VALUE(MID(I601,1,2)),Schwierigkeitsstufen!$G$7:$G$19,Schwierigkeitsstufen!$H$7:$H$19)))</f>
        <v/>
      </c>
      <c r="AD601" s="251" t="str">
        <f>IF((($A601="")*($B601=""))+((MID($Y601,1,4)&lt;&gt;"Wahl")*(Deckblatt!$C$14='WK-Vorlagen'!$C$82))+(Deckblatt!$C$14&lt;&gt;'WK-Vorlagen'!$C$82),"",IF(ISERROR(MATCH(VALUE(MID(J601,1,2)),Schwierigkeitsstufen!$G$7:$G$19,0)),"Gerät falsch",LOOKUP(VALUE(MID(J601,1,2)),Schwierigkeitsstufen!$G$7:$G$19,Schwierigkeitsstufen!$H$7:$H$19)))</f>
        <v/>
      </c>
      <c r="AE601" s="211"/>
      <c r="AG601" s="221" t="str">
        <f t="shared" si="81"/>
        <v/>
      </c>
      <c r="AH601" s="222" t="str">
        <f t="shared" si="83"/>
        <v/>
      </c>
      <c r="AI601" s="220">
        <f t="shared" si="88"/>
        <v>4</v>
      </c>
      <c r="AJ601" s="222">
        <f t="shared" si="84"/>
        <v>0</v>
      </c>
      <c r="AK601" s="299" t="str">
        <f>IF(ISERROR(LOOKUP(E601,WKNrListe,Übersicht!$R$7:$R$46)),"-",LOOKUP(E601,WKNrListe,Übersicht!$R$7:$R$46))</f>
        <v>-</v>
      </c>
      <c r="AL601" s="299" t="str">
        <f t="shared" si="87"/>
        <v>-</v>
      </c>
      <c r="AM601" s="303"/>
      <c r="AN601" s="174" t="str">
        <f t="shared" si="80"/>
        <v>Leer</v>
      </c>
    </row>
    <row r="602" spans="1:40" s="174" customFormat="1" ht="15" customHeight="1">
      <c r="A602" s="63"/>
      <c r="B602" s="63"/>
      <c r="C602" s="84"/>
      <c r="D602" s="85"/>
      <c r="E602" s="62"/>
      <c r="F602" s="62"/>
      <c r="G602" s="62"/>
      <c r="H602" s="62"/>
      <c r="I602" s="62"/>
      <c r="J602" s="62"/>
      <c r="K602" s="62"/>
      <c r="L602" s="62"/>
      <c r="M602" s="62"/>
      <c r="N602" s="62"/>
      <c r="O602" s="62"/>
      <c r="P602" s="62"/>
      <c r="Q602" s="62"/>
      <c r="R602" s="62"/>
      <c r="S602" s="258"/>
      <c r="T602" s="248" t="str">
        <f t="shared" si="85"/>
        <v/>
      </c>
      <c r="U602" s="249" t="str">
        <f t="shared" si="86"/>
        <v/>
      </c>
      <c r="V602" s="294" t="str">
        <f t="shared" si="82"/>
        <v/>
      </c>
      <c r="W602" s="294" t="str">
        <f>IF(((E602="")+(F602="")),"",IF(VLOOKUP(F602,Mannschaften!$A$1:$B$54,2,FALSE)&lt;&gt;E602,"Reiter Mannschaften füllen",""))</f>
        <v/>
      </c>
      <c r="X602" s="248" t="str">
        <f>IF(ISBLANK(C602),"",IF((U602&gt;(LOOKUP(E602,WKNrListe,Übersicht!$O$7:$O$46)))+(U602&lt;(LOOKUP(E602,WKNrListe,Übersicht!$P$7:$P$46))),"JG falsch",""))</f>
        <v/>
      </c>
      <c r="Y602" s="255" t="str">
        <f>IF((A602="")*(B602=""),"",IF(ISERROR(MATCH(E602,WKNrListe,0)),"WK falsch",LOOKUP(E602,WKNrListe,Übersicht!$B$7:$B$46)))</f>
        <v/>
      </c>
      <c r="Z602" s="269" t="str">
        <f>IF(((AJ602=0)*(AH602&lt;&gt;"")*(AK602="-"))+((AJ602&lt;&gt;0)*(AH602&lt;&gt;"")*(AK602="-")),IF(AG602="X",Übersicht!$C$70,Übersicht!$C$69),"-")</f>
        <v>-</v>
      </c>
      <c r="AA602" s="252" t="str">
        <f>IF((($A602="")*($B602=""))+((MID($Y602,1,4)&lt;&gt;"Wahl")*(Deckblatt!$C$14='WK-Vorlagen'!$C$82))+(Deckblatt!$C$14&lt;&gt;'WK-Vorlagen'!$C$82),"",IF(ISERROR(MATCH(VALUE(MID(G602,1,2)),Schwierigkeitsstufen!$G$7:$G$19,0)),"Gerät falsch",LOOKUP(VALUE(MID(G602,1,2)),Schwierigkeitsstufen!$G$7:$G$19,Schwierigkeitsstufen!$H$7:$H$19)))</f>
        <v/>
      </c>
      <c r="AB602" s="250" t="str">
        <f>IF((($A602="")*($B602=""))+((MID($Y602,1,4)&lt;&gt;"Wahl")*(Deckblatt!$C$14='WK-Vorlagen'!$C$82))+(Deckblatt!$C$14&lt;&gt;'WK-Vorlagen'!$C$82),"",IF(ISERROR(MATCH(VALUE(MID(H602,1,2)),Schwierigkeitsstufen!$G$7:$G$19,0)),"Gerät falsch",LOOKUP(VALUE(MID(H602,1,2)),Schwierigkeitsstufen!$G$7:$G$19,Schwierigkeitsstufen!$H$7:$H$19)))</f>
        <v/>
      </c>
      <c r="AC602" s="250" t="str">
        <f>IF((($A602="")*($B602=""))+((MID($Y602,1,4)&lt;&gt;"Wahl")*(Deckblatt!$C$14='WK-Vorlagen'!$C$82))+(Deckblatt!$C$14&lt;&gt;'WK-Vorlagen'!$C$82),"",IF(ISERROR(MATCH(VALUE(MID(I602,1,2)),Schwierigkeitsstufen!$G$7:$G$19,0)),"Gerät falsch",LOOKUP(VALUE(MID(I602,1,2)),Schwierigkeitsstufen!$G$7:$G$19,Schwierigkeitsstufen!$H$7:$H$19)))</f>
        <v/>
      </c>
      <c r="AD602" s="251" t="str">
        <f>IF((($A602="")*($B602=""))+((MID($Y602,1,4)&lt;&gt;"Wahl")*(Deckblatt!$C$14='WK-Vorlagen'!$C$82))+(Deckblatt!$C$14&lt;&gt;'WK-Vorlagen'!$C$82),"",IF(ISERROR(MATCH(VALUE(MID(J602,1,2)),Schwierigkeitsstufen!$G$7:$G$19,0)),"Gerät falsch",LOOKUP(VALUE(MID(J602,1,2)),Schwierigkeitsstufen!$G$7:$G$19,Schwierigkeitsstufen!$H$7:$H$19)))</f>
        <v/>
      </c>
      <c r="AE602" s="211"/>
      <c r="AG602" s="221" t="str">
        <f t="shared" si="81"/>
        <v/>
      </c>
      <c r="AH602" s="222" t="str">
        <f t="shared" si="83"/>
        <v/>
      </c>
      <c r="AI602" s="220">
        <f t="shared" si="88"/>
        <v>4</v>
      </c>
      <c r="AJ602" s="222">
        <f t="shared" si="84"/>
        <v>0</v>
      </c>
      <c r="AK602" s="299" t="str">
        <f>IF(ISERROR(LOOKUP(E602,WKNrListe,Übersicht!$R$7:$R$46)),"-",LOOKUP(E602,WKNrListe,Übersicht!$R$7:$R$46))</f>
        <v>-</v>
      </c>
      <c r="AL602" s="299" t="str">
        <f t="shared" si="87"/>
        <v>-</v>
      </c>
      <c r="AM602" s="303"/>
      <c r="AN602" s="174" t="str">
        <f t="shared" si="80"/>
        <v>Leer</v>
      </c>
    </row>
    <row r="603" spans="1:40" s="174" customFormat="1" ht="15" customHeight="1">
      <c r="A603" s="63"/>
      <c r="B603" s="63"/>
      <c r="C603" s="84"/>
      <c r="D603" s="85"/>
      <c r="E603" s="62"/>
      <c r="F603" s="62"/>
      <c r="G603" s="62"/>
      <c r="H603" s="62"/>
      <c r="I603" s="62"/>
      <c r="J603" s="62"/>
      <c r="K603" s="62"/>
      <c r="L603" s="62"/>
      <c r="M603" s="62"/>
      <c r="N603" s="62"/>
      <c r="O603" s="62"/>
      <c r="P603" s="62"/>
      <c r="Q603" s="62"/>
      <c r="R603" s="62"/>
      <c r="S603" s="258"/>
      <c r="T603" s="248" t="str">
        <f t="shared" si="85"/>
        <v/>
      </c>
      <c r="U603" s="249" t="str">
        <f t="shared" si="86"/>
        <v/>
      </c>
      <c r="V603" s="294" t="str">
        <f t="shared" si="82"/>
        <v/>
      </c>
      <c r="W603" s="294" t="str">
        <f>IF(((E603="")+(F603="")),"",IF(VLOOKUP(F603,Mannschaften!$A$1:$B$54,2,FALSE)&lt;&gt;E603,"Reiter Mannschaften füllen",""))</f>
        <v/>
      </c>
      <c r="X603" s="248" t="str">
        <f>IF(ISBLANK(C603),"",IF((U603&gt;(LOOKUP(E603,WKNrListe,Übersicht!$O$7:$O$46)))+(U603&lt;(LOOKUP(E603,WKNrListe,Übersicht!$P$7:$P$46))),"JG falsch",""))</f>
        <v/>
      </c>
      <c r="Y603" s="255" t="str">
        <f>IF((A603="")*(B603=""),"",IF(ISERROR(MATCH(E603,WKNrListe,0)),"WK falsch",LOOKUP(E603,WKNrListe,Übersicht!$B$7:$B$46)))</f>
        <v/>
      </c>
      <c r="Z603" s="269" t="str">
        <f>IF(((AJ603=0)*(AH603&lt;&gt;"")*(AK603="-"))+((AJ603&lt;&gt;0)*(AH603&lt;&gt;"")*(AK603="-")),IF(AG603="X",Übersicht!$C$70,Übersicht!$C$69),"-")</f>
        <v>-</v>
      </c>
      <c r="AA603" s="252" t="str">
        <f>IF((($A603="")*($B603=""))+((MID($Y603,1,4)&lt;&gt;"Wahl")*(Deckblatt!$C$14='WK-Vorlagen'!$C$82))+(Deckblatt!$C$14&lt;&gt;'WK-Vorlagen'!$C$82),"",IF(ISERROR(MATCH(VALUE(MID(G603,1,2)),Schwierigkeitsstufen!$G$7:$G$19,0)),"Gerät falsch",LOOKUP(VALUE(MID(G603,1,2)),Schwierigkeitsstufen!$G$7:$G$19,Schwierigkeitsstufen!$H$7:$H$19)))</f>
        <v/>
      </c>
      <c r="AB603" s="250" t="str">
        <f>IF((($A603="")*($B603=""))+((MID($Y603,1,4)&lt;&gt;"Wahl")*(Deckblatt!$C$14='WK-Vorlagen'!$C$82))+(Deckblatt!$C$14&lt;&gt;'WK-Vorlagen'!$C$82),"",IF(ISERROR(MATCH(VALUE(MID(H603,1,2)),Schwierigkeitsstufen!$G$7:$G$19,0)),"Gerät falsch",LOOKUP(VALUE(MID(H603,1,2)),Schwierigkeitsstufen!$G$7:$G$19,Schwierigkeitsstufen!$H$7:$H$19)))</f>
        <v/>
      </c>
      <c r="AC603" s="250" t="str">
        <f>IF((($A603="")*($B603=""))+((MID($Y603,1,4)&lt;&gt;"Wahl")*(Deckblatt!$C$14='WK-Vorlagen'!$C$82))+(Deckblatt!$C$14&lt;&gt;'WK-Vorlagen'!$C$82),"",IF(ISERROR(MATCH(VALUE(MID(I603,1,2)),Schwierigkeitsstufen!$G$7:$G$19,0)),"Gerät falsch",LOOKUP(VALUE(MID(I603,1,2)),Schwierigkeitsstufen!$G$7:$G$19,Schwierigkeitsstufen!$H$7:$H$19)))</f>
        <v/>
      </c>
      <c r="AD603" s="251" t="str">
        <f>IF((($A603="")*($B603=""))+((MID($Y603,1,4)&lt;&gt;"Wahl")*(Deckblatt!$C$14='WK-Vorlagen'!$C$82))+(Deckblatt!$C$14&lt;&gt;'WK-Vorlagen'!$C$82),"",IF(ISERROR(MATCH(VALUE(MID(J603,1,2)),Schwierigkeitsstufen!$G$7:$G$19,0)),"Gerät falsch",LOOKUP(VALUE(MID(J603,1,2)),Schwierigkeitsstufen!$G$7:$G$19,Schwierigkeitsstufen!$H$7:$H$19)))</f>
        <v/>
      </c>
      <c r="AE603" s="211"/>
      <c r="AG603" s="221" t="str">
        <f t="shared" si="81"/>
        <v/>
      </c>
      <c r="AH603" s="222" t="str">
        <f t="shared" si="83"/>
        <v/>
      </c>
      <c r="AI603" s="220">
        <f t="shared" si="88"/>
        <v>4</v>
      </c>
      <c r="AJ603" s="222">
        <f t="shared" si="84"/>
        <v>0</v>
      </c>
      <c r="AK603" s="299" t="str">
        <f>IF(ISERROR(LOOKUP(E603,WKNrListe,Übersicht!$R$7:$R$46)),"-",LOOKUP(E603,WKNrListe,Übersicht!$R$7:$R$46))</f>
        <v>-</v>
      </c>
      <c r="AL603" s="299" t="str">
        <f t="shared" si="87"/>
        <v>-</v>
      </c>
      <c r="AM603" s="303"/>
      <c r="AN603" s="174" t="str">
        <f t="shared" si="80"/>
        <v>Leer</v>
      </c>
    </row>
    <row r="604" spans="1:40" s="174" customFormat="1" ht="15" customHeight="1">
      <c r="A604" s="63"/>
      <c r="B604" s="63"/>
      <c r="C604" s="84"/>
      <c r="D604" s="85"/>
      <c r="E604" s="62"/>
      <c r="F604" s="62"/>
      <c r="G604" s="62"/>
      <c r="H604" s="62"/>
      <c r="I604" s="62"/>
      <c r="J604" s="62"/>
      <c r="K604" s="62"/>
      <c r="L604" s="62"/>
      <c r="M604" s="62"/>
      <c r="N604" s="62"/>
      <c r="O604" s="62"/>
      <c r="P604" s="62"/>
      <c r="Q604" s="62"/>
      <c r="R604" s="62"/>
      <c r="S604" s="258"/>
      <c r="T604" s="248" t="str">
        <f t="shared" si="85"/>
        <v/>
      </c>
      <c r="U604" s="249" t="str">
        <f t="shared" si="86"/>
        <v/>
      </c>
      <c r="V604" s="294" t="str">
        <f t="shared" si="82"/>
        <v/>
      </c>
      <c r="W604" s="294" t="str">
        <f>IF(((E604="")+(F604="")),"",IF(VLOOKUP(F604,Mannschaften!$A$1:$B$54,2,FALSE)&lt;&gt;E604,"Reiter Mannschaften füllen",""))</f>
        <v/>
      </c>
      <c r="X604" s="248" t="str">
        <f>IF(ISBLANK(C604),"",IF((U604&gt;(LOOKUP(E604,WKNrListe,Übersicht!$O$7:$O$46)))+(U604&lt;(LOOKUP(E604,WKNrListe,Übersicht!$P$7:$P$46))),"JG falsch",""))</f>
        <v/>
      </c>
      <c r="Y604" s="255" t="str">
        <f>IF((A604="")*(B604=""),"",IF(ISERROR(MATCH(E604,WKNrListe,0)),"WK falsch",LOOKUP(E604,WKNrListe,Übersicht!$B$7:$B$46)))</f>
        <v/>
      </c>
      <c r="Z604" s="269" t="str">
        <f>IF(((AJ604=0)*(AH604&lt;&gt;"")*(AK604="-"))+((AJ604&lt;&gt;0)*(AH604&lt;&gt;"")*(AK604="-")),IF(AG604="X",Übersicht!$C$70,Übersicht!$C$69),"-")</f>
        <v>-</v>
      </c>
      <c r="AA604" s="252" t="str">
        <f>IF((($A604="")*($B604=""))+((MID($Y604,1,4)&lt;&gt;"Wahl")*(Deckblatt!$C$14='WK-Vorlagen'!$C$82))+(Deckblatt!$C$14&lt;&gt;'WK-Vorlagen'!$C$82),"",IF(ISERROR(MATCH(VALUE(MID(G604,1,2)),Schwierigkeitsstufen!$G$7:$G$19,0)),"Gerät falsch",LOOKUP(VALUE(MID(G604,1,2)),Schwierigkeitsstufen!$G$7:$G$19,Schwierigkeitsstufen!$H$7:$H$19)))</f>
        <v/>
      </c>
      <c r="AB604" s="250" t="str">
        <f>IF((($A604="")*($B604=""))+((MID($Y604,1,4)&lt;&gt;"Wahl")*(Deckblatt!$C$14='WK-Vorlagen'!$C$82))+(Deckblatt!$C$14&lt;&gt;'WK-Vorlagen'!$C$82),"",IF(ISERROR(MATCH(VALUE(MID(H604,1,2)),Schwierigkeitsstufen!$G$7:$G$19,0)),"Gerät falsch",LOOKUP(VALUE(MID(H604,1,2)),Schwierigkeitsstufen!$G$7:$G$19,Schwierigkeitsstufen!$H$7:$H$19)))</f>
        <v/>
      </c>
      <c r="AC604" s="250" t="str">
        <f>IF((($A604="")*($B604=""))+((MID($Y604,1,4)&lt;&gt;"Wahl")*(Deckblatt!$C$14='WK-Vorlagen'!$C$82))+(Deckblatt!$C$14&lt;&gt;'WK-Vorlagen'!$C$82),"",IF(ISERROR(MATCH(VALUE(MID(I604,1,2)),Schwierigkeitsstufen!$G$7:$G$19,0)),"Gerät falsch",LOOKUP(VALUE(MID(I604,1,2)),Schwierigkeitsstufen!$G$7:$G$19,Schwierigkeitsstufen!$H$7:$H$19)))</f>
        <v/>
      </c>
      <c r="AD604" s="251" t="str">
        <f>IF((($A604="")*($B604=""))+((MID($Y604,1,4)&lt;&gt;"Wahl")*(Deckblatt!$C$14='WK-Vorlagen'!$C$82))+(Deckblatt!$C$14&lt;&gt;'WK-Vorlagen'!$C$82),"",IF(ISERROR(MATCH(VALUE(MID(J604,1,2)),Schwierigkeitsstufen!$G$7:$G$19,0)),"Gerät falsch",LOOKUP(VALUE(MID(J604,1,2)),Schwierigkeitsstufen!$G$7:$G$19,Schwierigkeitsstufen!$H$7:$H$19)))</f>
        <v/>
      </c>
      <c r="AE604" s="211"/>
      <c r="AG604" s="221" t="str">
        <f t="shared" si="81"/>
        <v/>
      </c>
      <c r="AH604" s="222" t="str">
        <f t="shared" si="83"/>
        <v/>
      </c>
      <c r="AI604" s="220">
        <f t="shared" si="88"/>
        <v>4</v>
      </c>
      <c r="AJ604" s="222">
        <f t="shared" si="84"/>
        <v>0</v>
      </c>
      <c r="AK604" s="299" t="str">
        <f>IF(ISERROR(LOOKUP(E604,WKNrListe,Übersicht!$R$7:$R$46)),"-",LOOKUP(E604,WKNrListe,Übersicht!$R$7:$R$46))</f>
        <v>-</v>
      </c>
      <c r="AL604" s="299" t="str">
        <f t="shared" si="87"/>
        <v>-</v>
      </c>
      <c r="AM604" s="303"/>
      <c r="AN604" s="174" t="str">
        <f t="shared" si="80"/>
        <v>Leer</v>
      </c>
    </row>
    <row r="605" spans="1:40" s="174" customFormat="1" ht="15" customHeight="1">
      <c r="A605" s="63"/>
      <c r="B605" s="63"/>
      <c r="C605" s="84"/>
      <c r="D605" s="85"/>
      <c r="E605" s="62"/>
      <c r="F605" s="62"/>
      <c r="G605" s="62"/>
      <c r="H605" s="62"/>
      <c r="I605" s="62"/>
      <c r="J605" s="62"/>
      <c r="K605" s="62"/>
      <c r="L605" s="62"/>
      <c r="M605" s="62"/>
      <c r="N605" s="62"/>
      <c r="O605" s="62"/>
      <c r="P605" s="62"/>
      <c r="Q605" s="62"/>
      <c r="R605" s="62"/>
      <c r="S605" s="258"/>
      <c r="T605" s="248" t="str">
        <f t="shared" si="85"/>
        <v/>
      </c>
      <c r="U605" s="249" t="str">
        <f t="shared" si="86"/>
        <v/>
      </c>
      <c r="V605" s="294" t="str">
        <f t="shared" si="82"/>
        <v/>
      </c>
      <c r="W605" s="294" t="str">
        <f>IF(((E605="")+(F605="")),"",IF(VLOOKUP(F605,Mannschaften!$A$1:$B$54,2,FALSE)&lt;&gt;E605,"Reiter Mannschaften füllen",""))</f>
        <v/>
      </c>
      <c r="X605" s="248" t="str">
        <f>IF(ISBLANK(C605),"",IF((U605&gt;(LOOKUP(E605,WKNrListe,Übersicht!$O$7:$O$46)))+(U605&lt;(LOOKUP(E605,WKNrListe,Übersicht!$P$7:$P$46))),"JG falsch",""))</f>
        <v/>
      </c>
      <c r="Y605" s="255" t="str">
        <f>IF((A605="")*(B605=""),"",IF(ISERROR(MATCH(E605,WKNrListe,0)),"WK falsch",LOOKUP(E605,WKNrListe,Übersicht!$B$7:$B$46)))</f>
        <v/>
      </c>
      <c r="Z605" s="269" t="str">
        <f>IF(((AJ605=0)*(AH605&lt;&gt;"")*(AK605="-"))+((AJ605&lt;&gt;0)*(AH605&lt;&gt;"")*(AK605="-")),IF(AG605="X",Übersicht!$C$70,Übersicht!$C$69),"-")</f>
        <v>-</v>
      </c>
      <c r="AA605" s="252" t="str">
        <f>IF((($A605="")*($B605=""))+((MID($Y605,1,4)&lt;&gt;"Wahl")*(Deckblatt!$C$14='WK-Vorlagen'!$C$82))+(Deckblatt!$C$14&lt;&gt;'WK-Vorlagen'!$C$82),"",IF(ISERROR(MATCH(VALUE(MID(G605,1,2)),Schwierigkeitsstufen!$G$7:$G$19,0)),"Gerät falsch",LOOKUP(VALUE(MID(G605,1,2)),Schwierigkeitsstufen!$G$7:$G$19,Schwierigkeitsstufen!$H$7:$H$19)))</f>
        <v/>
      </c>
      <c r="AB605" s="250" t="str">
        <f>IF((($A605="")*($B605=""))+((MID($Y605,1,4)&lt;&gt;"Wahl")*(Deckblatt!$C$14='WK-Vorlagen'!$C$82))+(Deckblatt!$C$14&lt;&gt;'WK-Vorlagen'!$C$82),"",IF(ISERROR(MATCH(VALUE(MID(H605,1,2)),Schwierigkeitsstufen!$G$7:$G$19,0)),"Gerät falsch",LOOKUP(VALUE(MID(H605,1,2)),Schwierigkeitsstufen!$G$7:$G$19,Schwierigkeitsstufen!$H$7:$H$19)))</f>
        <v/>
      </c>
      <c r="AC605" s="250" t="str">
        <f>IF((($A605="")*($B605=""))+((MID($Y605,1,4)&lt;&gt;"Wahl")*(Deckblatt!$C$14='WK-Vorlagen'!$C$82))+(Deckblatt!$C$14&lt;&gt;'WK-Vorlagen'!$C$82),"",IF(ISERROR(MATCH(VALUE(MID(I605,1,2)),Schwierigkeitsstufen!$G$7:$G$19,0)),"Gerät falsch",LOOKUP(VALUE(MID(I605,1,2)),Schwierigkeitsstufen!$G$7:$G$19,Schwierigkeitsstufen!$H$7:$H$19)))</f>
        <v/>
      </c>
      <c r="AD605" s="251" t="str">
        <f>IF((($A605="")*($B605=""))+((MID($Y605,1,4)&lt;&gt;"Wahl")*(Deckblatt!$C$14='WK-Vorlagen'!$C$82))+(Deckblatt!$C$14&lt;&gt;'WK-Vorlagen'!$C$82),"",IF(ISERROR(MATCH(VALUE(MID(J605,1,2)),Schwierigkeitsstufen!$G$7:$G$19,0)),"Gerät falsch",LOOKUP(VALUE(MID(J605,1,2)),Schwierigkeitsstufen!$G$7:$G$19,Schwierigkeitsstufen!$H$7:$H$19)))</f>
        <v/>
      </c>
      <c r="AE605" s="211"/>
      <c r="AG605" s="221" t="str">
        <f t="shared" si="81"/>
        <v/>
      </c>
      <c r="AH605" s="222" t="str">
        <f t="shared" si="83"/>
        <v/>
      </c>
      <c r="AI605" s="220">
        <f t="shared" si="88"/>
        <v>4</v>
      </c>
      <c r="AJ605" s="222">
        <f t="shared" si="84"/>
        <v>0</v>
      </c>
      <c r="AK605" s="299" t="str">
        <f>IF(ISERROR(LOOKUP(E605,WKNrListe,Übersicht!$R$7:$R$46)),"-",LOOKUP(E605,WKNrListe,Übersicht!$R$7:$R$46))</f>
        <v>-</v>
      </c>
      <c r="AL605" s="299" t="str">
        <f t="shared" si="87"/>
        <v>-</v>
      </c>
      <c r="AM605" s="303"/>
      <c r="AN605" s="174" t="str">
        <f t="shared" si="80"/>
        <v>Leer</v>
      </c>
    </row>
    <row r="606" spans="1:40" s="174" customFormat="1" ht="15" customHeight="1">
      <c r="A606" s="63"/>
      <c r="B606" s="63"/>
      <c r="C606" s="84"/>
      <c r="D606" s="85"/>
      <c r="E606" s="62"/>
      <c r="F606" s="62"/>
      <c r="G606" s="62"/>
      <c r="H606" s="62"/>
      <c r="I606" s="62"/>
      <c r="J606" s="62"/>
      <c r="K606" s="62"/>
      <c r="L606" s="62"/>
      <c r="M606" s="62"/>
      <c r="N606" s="62"/>
      <c r="O606" s="62"/>
      <c r="P606" s="62"/>
      <c r="Q606" s="62"/>
      <c r="R606" s="62"/>
      <c r="S606" s="258"/>
      <c r="T606" s="248" t="str">
        <f t="shared" si="85"/>
        <v/>
      </c>
      <c r="U606" s="249" t="str">
        <f t="shared" si="86"/>
        <v/>
      </c>
      <c r="V606" s="294" t="str">
        <f t="shared" si="82"/>
        <v/>
      </c>
      <c r="W606" s="294" t="str">
        <f>IF(((E606="")+(F606="")),"",IF(VLOOKUP(F606,Mannschaften!$A$1:$B$54,2,FALSE)&lt;&gt;E606,"Reiter Mannschaften füllen",""))</f>
        <v/>
      </c>
      <c r="X606" s="248" t="str">
        <f>IF(ISBLANK(C606),"",IF((U606&gt;(LOOKUP(E606,WKNrListe,Übersicht!$O$7:$O$46)))+(U606&lt;(LOOKUP(E606,WKNrListe,Übersicht!$P$7:$P$46))),"JG falsch",""))</f>
        <v/>
      </c>
      <c r="Y606" s="255" t="str">
        <f>IF((A606="")*(B606=""),"",IF(ISERROR(MATCH(E606,WKNrListe,0)),"WK falsch",LOOKUP(E606,WKNrListe,Übersicht!$B$7:$B$46)))</f>
        <v/>
      </c>
      <c r="Z606" s="269" t="str">
        <f>IF(((AJ606=0)*(AH606&lt;&gt;"")*(AK606="-"))+((AJ606&lt;&gt;0)*(AH606&lt;&gt;"")*(AK606="-")),IF(AG606="X",Übersicht!$C$70,Übersicht!$C$69),"-")</f>
        <v>-</v>
      </c>
      <c r="AA606" s="252" t="str">
        <f>IF((($A606="")*($B606=""))+((MID($Y606,1,4)&lt;&gt;"Wahl")*(Deckblatt!$C$14='WK-Vorlagen'!$C$82))+(Deckblatt!$C$14&lt;&gt;'WK-Vorlagen'!$C$82),"",IF(ISERROR(MATCH(VALUE(MID(G606,1,2)),Schwierigkeitsstufen!$G$7:$G$19,0)),"Gerät falsch",LOOKUP(VALUE(MID(G606,1,2)),Schwierigkeitsstufen!$G$7:$G$19,Schwierigkeitsstufen!$H$7:$H$19)))</f>
        <v/>
      </c>
      <c r="AB606" s="250" t="str">
        <f>IF((($A606="")*($B606=""))+((MID($Y606,1,4)&lt;&gt;"Wahl")*(Deckblatt!$C$14='WK-Vorlagen'!$C$82))+(Deckblatt!$C$14&lt;&gt;'WK-Vorlagen'!$C$82),"",IF(ISERROR(MATCH(VALUE(MID(H606,1,2)),Schwierigkeitsstufen!$G$7:$G$19,0)),"Gerät falsch",LOOKUP(VALUE(MID(H606,1,2)),Schwierigkeitsstufen!$G$7:$G$19,Schwierigkeitsstufen!$H$7:$H$19)))</f>
        <v/>
      </c>
      <c r="AC606" s="250" t="str">
        <f>IF((($A606="")*($B606=""))+((MID($Y606,1,4)&lt;&gt;"Wahl")*(Deckblatt!$C$14='WK-Vorlagen'!$C$82))+(Deckblatt!$C$14&lt;&gt;'WK-Vorlagen'!$C$82),"",IF(ISERROR(MATCH(VALUE(MID(I606,1,2)),Schwierigkeitsstufen!$G$7:$G$19,0)),"Gerät falsch",LOOKUP(VALUE(MID(I606,1,2)),Schwierigkeitsstufen!$G$7:$G$19,Schwierigkeitsstufen!$H$7:$H$19)))</f>
        <v/>
      </c>
      <c r="AD606" s="251" t="str">
        <f>IF((($A606="")*($B606=""))+((MID($Y606,1,4)&lt;&gt;"Wahl")*(Deckblatt!$C$14='WK-Vorlagen'!$C$82))+(Deckblatt!$C$14&lt;&gt;'WK-Vorlagen'!$C$82),"",IF(ISERROR(MATCH(VALUE(MID(J606,1,2)),Schwierigkeitsstufen!$G$7:$G$19,0)),"Gerät falsch",LOOKUP(VALUE(MID(J606,1,2)),Schwierigkeitsstufen!$G$7:$G$19,Schwierigkeitsstufen!$H$7:$H$19)))</f>
        <v/>
      </c>
      <c r="AE606" s="211"/>
      <c r="AG606" s="221" t="str">
        <f t="shared" si="81"/>
        <v/>
      </c>
      <c r="AH606" s="222" t="str">
        <f t="shared" si="83"/>
        <v/>
      </c>
      <c r="AI606" s="220">
        <f t="shared" si="88"/>
        <v>4</v>
      </c>
      <c r="AJ606" s="222">
        <f t="shared" si="84"/>
        <v>0</v>
      </c>
      <c r="AK606" s="299" t="str">
        <f>IF(ISERROR(LOOKUP(E606,WKNrListe,Übersicht!$R$7:$R$46)),"-",LOOKUP(E606,WKNrListe,Übersicht!$R$7:$R$46))</f>
        <v>-</v>
      </c>
      <c r="AL606" s="299" t="str">
        <f t="shared" si="87"/>
        <v>-</v>
      </c>
      <c r="AM606" s="303"/>
      <c r="AN606" s="174" t="str">
        <f t="shared" si="80"/>
        <v>Leer</v>
      </c>
    </row>
    <row r="607" spans="1:40" s="174" customFormat="1" ht="15" customHeight="1">
      <c r="A607" s="63"/>
      <c r="B607" s="63"/>
      <c r="C607" s="84"/>
      <c r="D607" s="85"/>
      <c r="E607" s="62"/>
      <c r="F607" s="62"/>
      <c r="G607" s="62"/>
      <c r="H607" s="62"/>
      <c r="I607" s="62"/>
      <c r="J607" s="62"/>
      <c r="K607" s="62"/>
      <c r="L607" s="62"/>
      <c r="M607" s="62"/>
      <c r="N607" s="62"/>
      <c r="O607" s="62"/>
      <c r="P607" s="62"/>
      <c r="Q607" s="62"/>
      <c r="R607" s="62"/>
      <c r="S607" s="258"/>
      <c r="T607" s="248" t="str">
        <f t="shared" si="85"/>
        <v/>
      </c>
      <c r="U607" s="249" t="str">
        <f t="shared" si="86"/>
        <v/>
      </c>
      <c r="V607" s="294" t="str">
        <f t="shared" si="82"/>
        <v/>
      </c>
      <c r="W607" s="294" t="str">
        <f>IF(((E607="")+(F607="")),"",IF(VLOOKUP(F607,Mannschaften!$A$1:$B$54,2,FALSE)&lt;&gt;E607,"Reiter Mannschaften füllen",""))</f>
        <v/>
      </c>
      <c r="X607" s="248" t="str">
        <f>IF(ISBLANK(C607),"",IF((U607&gt;(LOOKUP(E607,WKNrListe,Übersicht!$O$7:$O$46)))+(U607&lt;(LOOKUP(E607,WKNrListe,Übersicht!$P$7:$P$46))),"JG falsch",""))</f>
        <v/>
      </c>
      <c r="Y607" s="255" t="str">
        <f>IF((A607="")*(B607=""),"",IF(ISERROR(MATCH(E607,WKNrListe,0)),"WK falsch",LOOKUP(E607,WKNrListe,Übersicht!$B$7:$B$46)))</f>
        <v/>
      </c>
      <c r="Z607" s="269" t="str">
        <f>IF(((AJ607=0)*(AH607&lt;&gt;"")*(AK607="-"))+((AJ607&lt;&gt;0)*(AH607&lt;&gt;"")*(AK607="-")),IF(AG607="X",Übersicht!$C$70,Übersicht!$C$69),"-")</f>
        <v>-</v>
      </c>
      <c r="AA607" s="252" t="str">
        <f>IF((($A607="")*($B607=""))+((MID($Y607,1,4)&lt;&gt;"Wahl")*(Deckblatt!$C$14='WK-Vorlagen'!$C$82))+(Deckblatt!$C$14&lt;&gt;'WK-Vorlagen'!$C$82),"",IF(ISERROR(MATCH(VALUE(MID(G607,1,2)),Schwierigkeitsstufen!$G$7:$G$19,0)),"Gerät falsch",LOOKUP(VALUE(MID(G607,1,2)),Schwierigkeitsstufen!$G$7:$G$19,Schwierigkeitsstufen!$H$7:$H$19)))</f>
        <v/>
      </c>
      <c r="AB607" s="250" t="str">
        <f>IF((($A607="")*($B607=""))+((MID($Y607,1,4)&lt;&gt;"Wahl")*(Deckblatt!$C$14='WK-Vorlagen'!$C$82))+(Deckblatt!$C$14&lt;&gt;'WK-Vorlagen'!$C$82),"",IF(ISERROR(MATCH(VALUE(MID(H607,1,2)),Schwierigkeitsstufen!$G$7:$G$19,0)),"Gerät falsch",LOOKUP(VALUE(MID(H607,1,2)),Schwierigkeitsstufen!$G$7:$G$19,Schwierigkeitsstufen!$H$7:$H$19)))</f>
        <v/>
      </c>
      <c r="AC607" s="250" t="str">
        <f>IF((($A607="")*($B607=""))+((MID($Y607,1,4)&lt;&gt;"Wahl")*(Deckblatt!$C$14='WK-Vorlagen'!$C$82))+(Deckblatt!$C$14&lt;&gt;'WK-Vorlagen'!$C$82),"",IF(ISERROR(MATCH(VALUE(MID(I607,1,2)),Schwierigkeitsstufen!$G$7:$G$19,0)),"Gerät falsch",LOOKUP(VALUE(MID(I607,1,2)),Schwierigkeitsstufen!$G$7:$G$19,Schwierigkeitsstufen!$H$7:$H$19)))</f>
        <v/>
      </c>
      <c r="AD607" s="251" t="str">
        <f>IF((($A607="")*($B607=""))+((MID($Y607,1,4)&lt;&gt;"Wahl")*(Deckblatt!$C$14='WK-Vorlagen'!$C$82))+(Deckblatt!$C$14&lt;&gt;'WK-Vorlagen'!$C$82),"",IF(ISERROR(MATCH(VALUE(MID(J607,1,2)),Schwierigkeitsstufen!$G$7:$G$19,0)),"Gerät falsch",LOOKUP(VALUE(MID(J607,1,2)),Schwierigkeitsstufen!$G$7:$G$19,Schwierigkeitsstufen!$H$7:$H$19)))</f>
        <v/>
      </c>
      <c r="AE607" s="211"/>
      <c r="AG607" s="221" t="str">
        <f t="shared" si="81"/>
        <v/>
      </c>
      <c r="AH607" s="222" t="str">
        <f t="shared" si="83"/>
        <v/>
      </c>
      <c r="AI607" s="220">
        <f t="shared" si="88"/>
        <v>4</v>
      </c>
      <c r="AJ607" s="222">
        <f t="shared" si="84"/>
        <v>0</v>
      </c>
      <c r="AK607" s="299" t="str">
        <f>IF(ISERROR(LOOKUP(E607,WKNrListe,Übersicht!$R$7:$R$46)),"-",LOOKUP(E607,WKNrListe,Übersicht!$R$7:$R$46))</f>
        <v>-</v>
      </c>
      <c r="AL607" s="299" t="str">
        <f t="shared" si="87"/>
        <v>-</v>
      </c>
      <c r="AM607" s="303"/>
      <c r="AN607" s="174" t="str">
        <f t="shared" si="80"/>
        <v>Leer</v>
      </c>
    </row>
    <row r="608" spans="1:40" s="174" customFormat="1" ht="15" customHeight="1">
      <c r="A608" s="63"/>
      <c r="B608" s="63"/>
      <c r="C608" s="84"/>
      <c r="D608" s="85"/>
      <c r="E608" s="62"/>
      <c r="F608" s="62"/>
      <c r="G608" s="62"/>
      <c r="H608" s="62"/>
      <c r="I608" s="62"/>
      <c r="J608" s="62"/>
      <c r="K608" s="62"/>
      <c r="L608" s="62"/>
      <c r="M608" s="62"/>
      <c r="N608" s="62"/>
      <c r="O608" s="62"/>
      <c r="P608" s="62"/>
      <c r="Q608" s="62"/>
      <c r="R608" s="62"/>
      <c r="S608" s="258"/>
      <c r="T608" s="248" t="str">
        <f t="shared" si="85"/>
        <v/>
      </c>
      <c r="U608" s="249" t="str">
        <f t="shared" si="86"/>
        <v/>
      </c>
      <c r="V608" s="294" t="str">
        <f t="shared" si="82"/>
        <v/>
      </c>
      <c r="W608" s="294" t="str">
        <f>IF(((E608="")+(F608="")),"",IF(VLOOKUP(F608,Mannschaften!$A$1:$B$54,2,FALSE)&lt;&gt;E608,"Reiter Mannschaften füllen",""))</f>
        <v/>
      </c>
      <c r="X608" s="248" t="str">
        <f>IF(ISBLANK(C608),"",IF((U608&gt;(LOOKUP(E608,WKNrListe,Übersicht!$O$7:$O$46)))+(U608&lt;(LOOKUP(E608,WKNrListe,Übersicht!$P$7:$P$46))),"JG falsch",""))</f>
        <v/>
      </c>
      <c r="Y608" s="255" t="str">
        <f>IF((A608="")*(B608=""),"",IF(ISERROR(MATCH(E608,WKNrListe,0)),"WK falsch",LOOKUP(E608,WKNrListe,Übersicht!$B$7:$B$46)))</f>
        <v/>
      </c>
      <c r="Z608" s="269" t="str">
        <f>IF(((AJ608=0)*(AH608&lt;&gt;"")*(AK608="-"))+((AJ608&lt;&gt;0)*(AH608&lt;&gt;"")*(AK608="-")),IF(AG608="X",Übersicht!$C$70,Übersicht!$C$69),"-")</f>
        <v>-</v>
      </c>
      <c r="AA608" s="252" t="str">
        <f>IF((($A608="")*($B608=""))+((MID($Y608,1,4)&lt;&gt;"Wahl")*(Deckblatt!$C$14='WK-Vorlagen'!$C$82))+(Deckblatt!$C$14&lt;&gt;'WK-Vorlagen'!$C$82),"",IF(ISERROR(MATCH(VALUE(MID(G608,1,2)),Schwierigkeitsstufen!$G$7:$G$19,0)),"Gerät falsch",LOOKUP(VALUE(MID(G608,1,2)),Schwierigkeitsstufen!$G$7:$G$19,Schwierigkeitsstufen!$H$7:$H$19)))</f>
        <v/>
      </c>
      <c r="AB608" s="250" t="str">
        <f>IF((($A608="")*($B608=""))+((MID($Y608,1,4)&lt;&gt;"Wahl")*(Deckblatt!$C$14='WK-Vorlagen'!$C$82))+(Deckblatt!$C$14&lt;&gt;'WK-Vorlagen'!$C$82),"",IF(ISERROR(MATCH(VALUE(MID(H608,1,2)),Schwierigkeitsstufen!$G$7:$G$19,0)),"Gerät falsch",LOOKUP(VALUE(MID(H608,1,2)),Schwierigkeitsstufen!$G$7:$G$19,Schwierigkeitsstufen!$H$7:$H$19)))</f>
        <v/>
      </c>
      <c r="AC608" s="250" t="str">
        <f>IF((($A608="")*($B608=""))+((MID($Y608,1,4)&lt;&gt;"Wahl")*(Deckblatt!$C$14='WK-Vorlagen'!$C$82))+(Deckblatt!$C$14&lt;&gt;'WK-Vorlagen'!$C$82),"",IF(ISERROR(MATCH(VALUE(MID(I608,1,2)),Schwierigkeitsstufen!$G$7:$G$19,0)),"Gerät falsch",LOOKUP(VALUE(MID(I608,1,2)),Schwierigkeitsstufen!$G$7:$G$19,Schwierigkeitsstufen!$H$7:$H$19)))</f>
        <v/>
      </c>
      <c r="AD608" s="251" t="str">
        <f>IF((($A608="")*($B608=""))+((MID($Y608,1,4)&lt;&gt;"Wahl")*(Deckblatt!$C$14='WK-Vorlagen'!$C$82))+(Deckblatt!$C$14&lt;&gt;'WK-Vorlagen'!$C$82),"",IF(ISERROR(MATCH(VALUE(MID(J608,1,2)),Schwierigkeitsstufen!$G$7:$G$19,0)),"Gerät falsch",LOOKUP(VALUE(MID(J608,1,2)),Schwierigkeitsstufen!$G$7:$G$19,Schwierigkeitsstufen!$H$7:$H$19)))</f>
        <v/>
      </c>
      <c r="AE608" s="211"/>
      <c r="AG608" s="221" t="str">
        <f t="shared" si="81"/>
        <v/>
      </c>
      <c r="AH608" s="222" t="str">
        <f t="shared" si="83"/>
        <v/>
      </c>
      <c r="AI608" s="220">
        <f t="shared" si="88"/>
        <v>4</v>
      </c>
      <c r="AJ608" s="222">
        <f t="shared" si="84"/>
        <v>0</v>
      </c>
      <c r="AK608" s="299" t="str">
        <f>IF(ISERROR(LOOKUP(E608,WKNrListe,Übersicht!$R$7:$R$46)),"-",LOOKUP(E608,WKNrListe,Übersicht!$R$7:$R$46))</f>
        <v>-</v>
      </c>
      <c r="AL608" s="299" t="str">
        <f t="shared" si="87"/>
        <v>-</v>
      </c>
      <c r="AM608" s="303"/>
      <c r="AN608" s="174" t="str">
        <f t="shared" si="80"/>
        <v>Leer</v>
      </c>
    </row>
    <row r="609" spans="1:40" s="174" customFormat="1" ht="15" customHeight="1">
      <c r="A609" s="63"/>
      <c r="B609" s="63"/>
      <c r="C609" s="84"/>
      <c r="D609" s="85"/>
      <c r="E609" s="62"/>
      <c r="F609" s="62"/>
      <c r="G609" s="62"/>
      <c r="H609" s="62"/>
      <c r="I609" s="62"/>
      <c r="J609" s="62"/>
      <c r="K609" s="62"/>
      <c r="L609" s="62"/>
      <c r="M609" s="62"/>
      <c r="N609" s="62"/>
      <c r="O609" s="62"/>
      <c r="P609" s="62"/>
      <c r="Q609" s="62"/>
      <c r="R609" s="62"/>
      <c r="S609" s="258"/>
      <c r="T609" s="248" t="str">
        <f t="shared" si="85"/>
        <v/>
      </c>
      <c r="U609" s="249" t="str">
        <f t="shared" si="86"/>
        <v/>
      </c>
      <c r="V609" s="294" t="str">
        <f t="shared" si="82"/>
        <v/>
      </c>
      <c r="W609" s="294" t="str">
        <f>IF(((E609="")+(F609="")),"",IF(VLOOKUP(F609,Mannschaften!$A$1:$B$54,2,FALSE)&lt;&gt;E609,"Reiter Mannschaften füllen",""))</f>
        <v/>
      </c>
      <c r="X609" s="248" t="str">
        <f>IF(ISBLANK(C609),"",IF((U609&gt;(LOOKUP(E609,WKNrListe,Übersicht!$O$7:$O$46)))+(U609&lt;(LOOKUP(E609,WKNrListe,Übersicht!$P$7:$P$46))),"JG falsch",""))</f>
        <v/>
      </c>
      <c r="Y609" s="255" t="str">
        <f>IF((A609="")*(B609=""),"",IF(ISERROR(MATCH(E609,WKNrListe,0)),"WK falsch",LOOKUP(E609,WKNrListe,Übersicht!$B$7:$B$46)))</f>
        <v/>
      </c>
      <c r="Z609" s="269" t="str">
        <f>IF(((AJ609=0)*(AH609&lt;&gt;"")*(AK609="-"))+((AJ609&lt;&gt;0)*(AH609&lt;&gt;"")*(AK609="-")),IF(AG609="X",Übersicht!$C$70,Übersicht!$C$69),"-")</f>
        <v>-</v>
      </c>
      <c r="AA609" s="252" t="str">
        <f>IF((($A609="")*($B609=""))+((MID($Y609,1,4)&lt;&gt;"Wahl")*(Deckblatt!$C$14='WK-Vorlagen'!$C$82))+(Deckblatt!$C$14&lt;&gt;'WK-Vorlagen'!$C$82),"",IF(ISERROR(MATCH(VALUE(MID(G609,1,2)),Schwierigkeitsstufen!$G$7:$G$19,0)),"Gerät falsch",LOOKUP(VALUE(MID(G609,1,2)),Schwierigkeitsstufen!$G$7:$G$19,Schwierigkeitsstufen!$H$7:$H$19)))</f>
        <v/>
      </c>
      <c r="AB609" s="250" t="str">
        <f>IF((($A609="")*($B609=""))+((MID($Y609,1,4)&lt;&gt;"Wahl")*(Deckblatt!$C$14='WK-Vorlagen'!$C$82))+(Deckblatt!$C$14&lt;&gt;'WK-Vorlagen'!$C$82),"",IF(ISERROR(MATCH(VALUE(MID(H609,1,2)),Schwierigkeitsstufen!$G$7:$G$19,0)),"Gerät falsch",LOOKUP(VALUE(MID(H609,1,2)),Schwierigkeitsstufen!$G$7:$G$19,Schwierigkeitsstufen!$H$7:$H$19)))</f>
        <v/>
      </c>
      <c r="AC609" s="250" t="str">
        <f>IF((($A609="")*($B609=""))+((MID($Y609,1,4)&lt;&gt;"Wahl")*(Deckblatt!$C$14='WK-Vorlagen'!$C$82))+(Deckblatt!$C$14&lt;&gt;'WK-Vorlagen'!$C$82),"",IF(ISERROR(MATCH(VALUE(MID(I609,1,2)),Schwierigkeitsstufen!$G$7:$G$19,0)),"Gerät falsch",LOOKUP(VALUE(MID(I609,1,2)),Schwierigkeitsstufen!$G$7:$G$19,Schwierigkeitsstufen!$H$7:$H$19)))</f>
        <v/>
      </c>
      <c r="AD609" s="251" t="str">
        <f>IF((($A609="")*($B609=""))+((MID($Y609,1,4)&lt;&gt;"Wahl")*(Deckblatt!$C$14='WK-Vorlagen'!$C$82))+(Deckblatt!$C$14&lt;&gt;'WK-Vorlagen'!$C$82),"",IF(ISERROR(MATCH(VALUE(MID(J609,1,2)),Schwierigkeitsstufen!$G$7:$G$19,0)),"Gerät falsch",LOOKUP(VALUE(MID(J609,1,2)),Schwierigkeitsstufen!$G$7:$G$19,Schwierigkeitsstufen!$H$7:$H$19)))</f>
        <v/>
      </c>
      <c r="AE609" s="211"/>
      <c r="AG609" s="221" t="str">
        <f t="shared" si="81"/>
        <v/>
      </c>
      <c r="AH609" s="222" t="str">
        <f t="shared" si="83"/>
        <v/>
      </c>
      <c r="AI609" s="220">
        <f t="shared" si="88"/>
        <v>4</v>
      </c>
      <c r="AJ609" s="222">
        <f t="shared" si="84"/>
        <v>0</v>
      </c>
      <c r="AK609" s="299" t="str">
        <f>IF(ISERROR(LOOKUP(E609,WKNrListe,Übersicht!$R$7:$R$46)),"-",LOOKUP(E609,WKNrListe,Übersicht!$R$7:$R$46))</f>
        <v>-</v>
      </c>
      <c r="AL609" s="299" t="str">
        <f t="shared" si="87"/>
        <v>-</v>
      </c>
      <c r="AM609" s="303"/>
      <c r="AN609" s="174" t="str">
        <f t="shared" si="80"/>
        <v>Leer</v>
      </c>
    </row>
    <row r="610" spans="1:40" s="174" customFormat="1" ht="15" customHeight="1">
      <c r="A610" s="63"/>
      <c r="B610" s="63"/>
      <c r="C610" s="84"/>
      <c r="D610" s="85"/>
      <c r="E610" s="62"/>
      <c r="F610" s="62"/>
      <c r="G610" s="62"/>
      <c r="H610" s="62"/>
      <c r="I610" s="62"/>
      <c r="J610" s="62"/>
      <c r="K610" s="62"/>
      <c r="L610" s="62"/>
      <c r="M610" s="62"/>
      <c r="N610" s="62"/>
      <c r="O610" s="62"/>
      <c r="P610" s="62"/>
      <c r="Q610" s="62"/>
      <c r="R610" s="62"/>
      <c r="S610" s="258"/>
      <c r="T610" s="248" t="str">
        <f t="shared" si="85"/>
        <v/>
      </c>
      <c r="U610" s="249" t="str">
        <f t="shared" si="86"/>
        <v/>
      </c>
      <c r="V610" s="294" t="str">
        <f t="shared" si="82"/>
        <v/>
      </c>
      <c r="W610" s="294" t="str">
        <f>IF(((E610="")+(F610="")),"",IF(VLOOKUP(F610,Mannschaften!$A$1:$B$54,2,FALSE)&lt;&gt;E610,"Reiter Mannschaften füllen",""))</f>
        <v/>
      </c>
      <c r="X610" s="248" t="str">
        <f>IF(ISBLANK(C610),"",IF((U610&gt;(LOOKUP(E610,WKNrListe,Übersicht!$O$7:$O$46)))+(U610&lt;(LOOKUP(E610,WKNrListe,Übersicht!$P$7:$P$46))),"JG falsch",""))</f>
        <v/>
      </c>
      <c r="Y610" s="255" t="str">
        <f>IF((A610="")*(B610=""),"",IF(ISERROR(MATCH(E610,WKNrListe,0)),"WK falsch",LOOKUP(E610,WKNrListe,Übersicht!$B$7:$B$46)))</f>
        <v/>
      </c>
      <c r="Z610" s="269" t="str">
        <f>IF(((AJ610=0)*(AH610&lt;&gt;"")*(AK610="-"))+((AJ610&lt;&gt;0)*(AH610&lt;&gt;"")*(AK610="-")),IF(AG610="X",Übersicht!$C$70,Übersicht!$C$69),"-")</f>
        <v>-</v>
      </c>
      <c r="AA610" s="252" t="str">
        <f>IF((($A610="")*($B610=""))+((MID($Y610,1,4)&lt;&gt;"Wahl")*(Deckblatt!$C$14='WK-Vorlagen'!$C$82))+(Deckblatt!$C$14&lt;&gt;'WK-Vorlagen'!$C$82),"",IF(ISERROR(MATCH(VALUE(MID(G610,1,2)),Schwierigkeitsstufen!$G$7:$G$19,0)),"Gerät falsch",LOOKUP(VALUE(MID(G610,1,2)),Schwierigkeitsstufen!$G$7:$G$19,Schwierigkeitsstufen!$H$7:$H$19)))</f>
        <v/>
      </c>
      <c r="AB610" s="250" t="str">
        <f>IF((($A610="")*($B610=""))+((MID($Y610,1,4)&lt;&gt;"Wahl")*(Deckblatt!$C$14='WK-Vorlagen'!$C$82))+(Deckblatt!$C$14&lt;&gt;'WK-Vorlagen'!$C$82),"",IF(ISERROR(MATCH(VALUE(MID(H610,1,2)),Schwierigkeitsstufen!$G$7:$G$19,0)),"Gerät falsch",LOOKUP(VALUE(MID(H610,1,2)),Schwierigkeitsstufen!$G$7:$G$19,Schwierigkeitsstufen!$H$7:$H$19)))</f>
        <v/>
      </c>
      <c r="AC610" s="250" t="str">
        <f>IF((($A610="")*($B610=""))+((MID($Y610,1,4)&lt;&gt;"Wahl")*(Deckblatt!$C$14='WK-Vorlagen'!$C$82))+(Deckblatt!$C$14&lt;&gt;'WK-Vorlagen'!$C$82),"",IF(ISERROR(MATCH(VALUE(MID(I610,1,2)),Schwierigkeitsstufen!$G$7:$G$19,0)),"Gerät falsch",LOOKUP(VALUE(MID(I610,1,2)),Schwierigkeitsstufen!$G$7:$G$19,Schwierigkeitsstufen!$H$7:$H$19)))</f>
        <v/>
      </c>
      <c r="AD610" s="251" t="str">
        <f>IF((($A610="")*($B610=""))+((MID($Y610,1,4)&lt;&gt;"Wahl")*(Deckblatt!$C$14='WK-Vorlagen'!$C$82))+(Deckblatt!$C$14&lt;&gt;'WK-Vorlagen'!$C$82),"",IF(ISERROR(MATCH(VALUE(MID(J610,1,2)),Schwierigkeitsstufen!$G$7:$G$19,0)),"Gerät falsch",LOOKUP(VALUE(MID(J610,1,2)),Schwierigkeitsstufen!$G$7:$G$19,Schwierigkeitsstufen!$H$7:$H$19)))</f>
        <v/>
      </c>
      <c r="AE610" s="211"/>
      <c r="AG610" s="221" t="str">
        <f t="shared" si="81"/>
        <v/>
      </c>
      <c r="AH610" s="222" t="str">
        <f t="shared" si="83"/>
        <v/>
      </c>
      <c r="AI610" s="220">
        <f t="shared" si="88"/>
        <v>4</v>
      </c>
      <c r="AJ610" s="222">
        <f t="shared" si="84"/>
        <v>0</v>
      </c>
      <c r="AK610" s="299" t="str">
        <f>IF(ISERROR(LOOKUP(E610,WKNrListe,Übersicht!$R$7:$R$46)),"-",LOOKUP(E610,WKNrListe,Übersicht!$R$7:$R$46))</f>
        <v>-</v>
      </c>
      <c r="AL610" s="299" t="str">
        <f t="shared" si="87"/>
        <v>-</v>
      </c>
      <c r="AM610" s="303"/>
      <c r="AN610" s="174" t="str">
        <f t="shared" si="80"/>
        <v>Leer</v>
      </c>
    </row>
    <row r="611" spans="1:40" s="174" customFormat="1" ht="15" customHeight="1">
      <c r="A611" s="63"/>
      <c r="B611" s="63"/>
      <c r="C611" s="84"/>
      <c r="D611" s="85"/>
      <c r="E611" s="62"/>
      <c r="F611" s="62"/>
      <c r="G611" s="62"/>
      <c r="H611" s="62"/>
      <c r="I611" s="62"/>
      <c r="J611" s="62"/>
      <c r="K611" s="62"/>
      <c r="L611" s="62"/>
      <c r="M611" s="62"/>
      <c r="N611" s="62"/>
      <c r="O611" s="62"/>
      <c r="P611" s="62"/>
      <c r="Q611" s="62"/>
      <c r="R611" s="62"/>
      <c r="S611" s="258"/>
      <c r="T611" s="248" t="str">
        <f t="shared" si="85"/>
        <v/>
      </c>
      <c r="U611" s="249" t="str">
        <f t="shared" si="86"/>
        <v/>
      </c>
      <c r="V611" s="294" t="str">
        <f t="shared" si="82"/>
        <v/>
      </c>
      <c r="W611" s="294" t="str">
        <f>IF(((E611="")+(F611="")),"",IF(VLOOKUP(F611,Mannschaften!$A$1:$B$54,2,FALSE)&lt;&gt;E611,"Reiter Mannschaften füllen",""))</f>
        <v/>
      </c>
      <c r="X611" s="248" t="str">
        <f>IF(ISBLANK(C611),"",IF((U611&gt;(LOOKUP(E611,WKNrListe,Übersicht!$O$7:$O$46)))+(U611&lt;(LOOKUP(E611,WKNrListe,Übersicht!$P$7:$P$46))),"JG falsch",""))</f>
        <v/>
      </c>
      <c r="Y611" s="255" t="str">
        <f>IF((A611="")*(B611=""),"",IF(ISERROR(MATCH(E611,WKNrListe,0)),"WK falsch",LOOKUP(E611,WKNrListe,Übersicht!$B$7:$B$46)))</f>
        <v/>
      </c>
      <c r="Z611" s="269" t="str">
        <f>IF(((AJ611=0)*(AH611&lt;&gt;"")*(AK611="-"))+((AJ611&lt;&gt;0)*(AH611&lt;&gt;"")*(AK611="-")),IF(AG611="X",Übersicht!$C$70,Übersicht!$C$69),"-")</f>
        <v>-</v>
      </c>
      <c r="AA611" s="252" t="str">
        <f>IF((($A611="")*($B611=""))+((MID($Y611,1,4)&lt;&gt;"Wahl")*(Deckblatt!$C$14='WK-Vorlagen'!$C$82))+(Deckblatt!$C$14&lt;&gt;'WK-Vorlagen'!$C$82),"",IF(ISERROR(MATCH(VALUE(MID(G611,1,2)),Schwierigkeitsstufen!$G$7:$G$19,0)),"Gerät falsch",LOOKUP(VALUE(MID(G611,1,2)),Schwierigkeitsstufen!$G$7:$G$19,Schwierigkeitsstufen!$H$7:$H$19)))</f>
        <v/>
      </c>
      <c r="AB611" s="250" t="str">
        <f>IF((($A611="")*($B611=""))+((MID($Y611,1,4)&lt;&gt;"Wahl")*(Deckblatt!$C$14='WK-Vorlagen'!$C$82))+(Deckblatt!$C$14&lt;&gt;'WK-Vorlagen'!$C$82),"",IF(ISERROR(MATCH(VALUE(MID(H611,1,2)),Schwierigkeitsstufen!$G$7:$G$19,0)),"Gerät falsch",LOOKUP(VALUE(MID(H611,1,2)),Schwierigkeitsstufen!$G$7:$G$19,Schwierigkeitsstufen!$H$7:$H$19)))</f>
        <v/>
      </c>
      <c r="AC611" s="250" t="str">
        <f>IF((($A611="")*($B611=""))+((MID($Y611,1,4)&lt;&gt;"Wahl")*(Deckblatt!$C$14='WK-Vorlagen'!$C$82))+(Deckblatt!$C$14&lt;&gt;'WK-Vorlagen'!$C$82),"",IF(ISERROR(MATCH(VALUE(MID(I611,1,2)),Schwierigkeitsstufen!$G$7:$G$19,0)),"Gerät falsch",LOOKUP(VALUE(MID(I611,1,2)),Schwierigkeitsstufen!$G$7:$G$19,Schwierigkeitsstufen!$H$7:$H$19)))</f>
        <v/>
      </c>
      <c r="AD611" s="251" t="str">
        <f>IF((($A611="")*($B611=""))+((MID($Y611,1,4)&lt;&gt;"Wahl")*(Deckblatt!$C$14='WK-Vorlagen'!$C$82))+(Deckblatt!$C$14&lt;&gt;'WK-Vorlagen'!$C$82),"",IF(ISERROR(MATCH(VALUE(MID(J611,1,2)),Schwierigkeitsstufen!$G$7:$G$19,0)),"Gerät falsch",LOOKUP(VALUE(MID(J611,1,2)),Schwierigkeitsstufen!$G$7:$G$19,Schwierigkeitsstufen!$H$7:$H$19)))</f>
        <v/>
      </c>
      <c r="AE611" s="211"/>
      <c r="AG611" s="221" t="str">
        <f t="shared" si="81"/>
        <v/>
      </c>
      <c r="AH611" s="222" t="str">
        <f t="shared" si="83"/>
        <v/>
      </c>
      <c r="AI611" s="220">
        <f t="shared" si="88"/>
        <v>4</v>
      </c>
      <c r="AJ611" s="222">
        <f t="shared" si="84"/>
        <v>0</v>
      </c>
      <c r="AK611" s="299" t="str">
        <f>IF(ISERROR(LOOKUP(E611,WKNrListe,Übersicht!$R$7:$R$46)),"-",LOOKUP(E611,WKNrListe,Übersicht!$R$7:$R$46))</f>
        <v>-</v>
      </c>
      <c r="AL611" s="299" t="str">
        <f t="shared" si="87"/>
        <v>-</v>
      </c>
      <c r="AM611" s="303"/>
      <c r="AN611" s="174" t="str">
        <f t="shared" si="80"/>
        <v>Leer</v>
      </c>
    </row>
    <row r="612" spans="1:40" s="174" customFormat="1" ht="15" customHeight="1">
      <c r="A612" s="63"/>
      <c r="B612" s="63"/>
      <c r="C612" s="84"/>
      <c r="D612" s="85"/>
      <c r="E612" s="62"/>
      <c r="F612" s="62"/>
      <c r="G612" s="62"/>
      <c r="H612" s="62"/>
      <c r="I612" s="62"/>
      <c r="J612" s="62"/>
      <c r="K612" s="62"/>
      <c r="L612" s="62"/>
      <c r="M612" s="62"/>
      <c r="N612" s="62"/>
      <c r="O612" s="62"/>
      <c r="P612" s="62"/>
      <c r="Q612" s="62"/>
      <c r="R612" s="62"/>
      <c r="S612" s="258"/>
      <c r="T612" s="248" t="str">
        <f t="shared" si="85"/>
        <v/>
      </c>
      <c r="U612" s="249" t="str">
        <f t="shared" si="86"/>
        <v/>
      </c>
      <c r="V612" s="294" t="str">
        <f t="shared" si="82"/>
        <v/>
      </c>
      <c r="W612" s="294" t="str">
        <f>IF(((E612="")+(F612="")),"",IF(VLOOKUP(F612,Mannschaften!$A$1:$B$54,2,FALSE)&lt;&gt;E612,"Reiter Mannschaften füllen",""))</f>
        <v/>
      </c>
      <c r="X612" s="248" t="str">
        <f>IF(ISBLANK(C612),"",IF((U612&gt;(LOOKUP(E612,WKNrListe,Übersicht!$O$7:$O$46)))+(U612&lt;(LOOKUP(E612,WKNrListe,Übersicht!$P$7:$P$46))),"JG falsch",""))</f>
        <v/>
      </c>
      <c r="Y612" s="255" t="str">
        <f>IF((A612="")*(B612=""),"",IF(ISERROR(MATCH(E612,WKNrListe,0)),"WK falsch",LOOKUP(E612,WKNrListe,Übersicht!$B$7:$B$46)))</f>
        <v/>
      </c>
      <c r="Z612" s="269" t="str">
        <f>IF(((AJ612=0)*(AH612&lt;&gt;"")*(AK612="-"))+((AJ612&lt;&gt;0)*(AH612&lt;&gt;"")*(AK612="-")),IF(AG612="X",Übersicht!$C$70,Übersicht!$C$69),"-")</f>
        <v>-</v>
      </c>
      <c r="AA612" s="252" t="str">
        <f>IF((($A612="")*($B612=""))+((MID($Y612,1,4)&lt;&gt;"Wahl")*(Deckblatt!$C$14='WK-Vorlagen'!$C$82))+(Deckblatt!$C$14&lt;&gt;'WK-Vorlagen'!$C$82),"",IF(ISERROR(MATCH(VALUE(MID(G612,1,2)),Schwierigkeitsstufen!$G$7:$G$19,0)),"Gerät falsch",LOOKUP(VALUE(MID(G612,1,2)),Schwierigkeitsstufen!$G$7:$G$19,Schwierigkeitsstufen!$H$7:$H$19)))</f>
        <v/>
      </c>
      <c r="AB612" s="250" t="str">
        <f>IF((($A612="")*($B612=""))+((MID($Y612,1,4)&lt;&gt;"Wahl")*(Deckblatt!$C$14='WK-Vorlagen'!$C$82))+(Deckblatt!$C$14&lt;&gt;'WK-Vorlagen'!$C$82),"",IF(ISERROR(MATCH(VALUE(MID(H612,1,2)),Schwierigkeitsstufen!$G$7:$G$19,0)),"Gerät falsch",LOOKUP(VALUE(MID(H612,1,2)),Schwierigkeitsstufen!$G$7:$G$19,Schwierigkeitsstufen!$H$7:$H$19)))</f>
        <v/>
      </c>
      <c r="AC612" s="250" t="str">
        <f>IF((($A612="")*($B612=""))+((MID($Y612,1,4)&lt;&gt;"Wahl")*(Deckblatt!$C$14='WK-Vorlagen'!$C$82))+(Deckblatt!$C$14&lt;&gt;'WK-Vorlagen'!$C$82),"",IF(ISERROR(MATCH(VALUE(MID(I612,1,2)),Schwierigkeitsstufen!$G$7:$G$19,0)),"Gerät falsch",LOOKUP(VALUE(MID(I612,1,2)),Schwierigkeitsstufen!$G$7:$G$19,Schwierigkeitsstufen!$H$7:$H$19)))</f>
        <v/>
      </c>
      <c r="AD612" s="251" t="str">
        <f>IF((($A612="")*($B612=""))+((MID($Y612,1,4)&lt;&gt;"Wahl")*(Deckblatt!$C$14='WK-Vorlagen'!$C$82))+(Deckblatt!$C$14&lt;&gt;'WK-Vorlagen'!$C$82),"",IF(ISERROR(MATCH(VALUE(MID(J612,1,2)),Schwierigkeitsstufen!$G$7:$G$19,0)),"Gerät falsch",LOOKUP(VALUE(MID(J612,1,2)),Schwierigkeitsstufen!$G$7:$G$19,Schwierigkeitsstufen!$H$7:$H$19)))</f>
        <v/>
      </c>
      <c r="AE612" s="211"/>
      <c r="AG612" s="221" t="str">
        <f t="shared" si="81"/>
        <v/>
      </c>
      <c r="AH612" s="222" t="str">
        <f t="shared" si="83"/>
        <v/>
      </c>
      <c r="AI612" s="220">
        <f t="shared" si="88"/>
        <v>4</v>
      </c>
      <c r="AJ612" s="222">
        <f t="shared" si="84"/>
        <v>0</v>
      </c>
      <c r="AK612" s="299" t="str">
        <f>IF(ISERROR(LOOKUP(E612,WKNrListe,Übersicht!$R$7:$R$46)),"-",LOOKUP(E612,WKNrListe,Übersicht!$R$7:$R$46))</f>
        <v>-</v>
      </c>
      <c r="AL612" s="299" t="str">
        <f t="shared" si="87"/>
        <v>-</v>
      </c>
      <c r="AM612" s="303"/>
      <c r="AN612" s="174" t="str">
        <f t="shared" si="80"/>
        <v>Leer</v>
      </c>
    </row>
    <row r="613" spans="1:40" s="174" customFormat="1" ht="15" customHeight="1">
      <c r="A613" s="63"/>
      <c r="B613" s="63"/>
      <c r="C613" s="84"/>
      <c r="D613" s="85"/>
      <c r="E613" s="62"/>
      <c r="F613" s="62"/>
      <c r="G613" s="62"/>
      <c r="H613" s="62"/>
      <c r="I613" s="62"/>
      <c r="J613" s="62"/>
      <c r="K613" s="62"/>
      <c r="L613" s="62"/>
      <c r="M613" s="62"/>
      <c r="N613" s="62"/>
      <c r="O613" s="62"/>
      <c r="P613" s="62"/>
      <c r="Q613" s="62"/>
      <c r="R613" s="62"/>
      <c r="S613" s="258"/>
      <c r="T613" s="248" t="str">
        <f t="shared" si="85"/>
        <v/>
      </c>
      <c r="U613" s="249" t="str">
        <f t="shared" si="86"/>
        <v/>
      </c>
      <c r="V613" s="294" t="str">
        <f t="shared" si="82"/>
        <v/>
      </c>
      <c r="W613" s="294" t="str">
        <f>IF(((E613="")+(F613="")),"",IF(VLOOKUP(F613,Mannschaften!$A$1:$B$54,2,FALSE)&lt;&gt;E613,"Reiter Mannschaften füllen",""))</f>
        <v/>
      </c>
      <c r="X613" s="248" t="str">
        <f>IF(ISBLANK(C613),"",IF((U613&gt;(LOOKUP(E613,WKNrListe,Übersicht!$O$7:$O$46)))+(U613&lt;(LOOKUP(E613,WKNrListe,Übersicht!$P$7:$P$46))),"JG falsch",""))</f>
        <v/>
      </c>
      <c r="Y613" s="255" t="str">
        <f>IF((A613="")*(B613=""),"",IF(ISERROR(MATCH(E613,WKNrListe,0)),"WK falsch",LOOKUP(E613,WKNrListe,Übersicht!$B$7:$B$46)))</f>
        <v/>
      </c>
      <c r="Z613" s="269" t="str">
        <f>IF(((AJ613=0)*(AH613&lt;&gt;"")*(AK613="-"))+((AJ613&lt;&gt;0)*(AH613&lt;&gt;"")*(AK613="-")),IF(AG613="X",Übersicht!$C$70,Übersicht!$C$69),"-")</f>
        <v>-</v>
      </c>
      <c r="AA613" s="252" t="str">
        <f>IF((($A613="")*($B613=""))+((MID($Y613,1,4)&lt;&gt;"Wahl")*(Deckblatt!$C$14='WK-Vorlagen'!$C$82))+(Deckblatt!$C$14&lt;&gt;'WK-Vorlagen'!$C$82),"",IF(ISERROR(MATCH(VALUE(MID(G613,1,2)),Schwierigkeitsstufen!$G$7:$G$19,0)),"Gerät falsch",LOOKUP(VALUE(MID(G613,1,2)),Schwierigkeitsstufen!$G$7:$G$19,Schwierigkeitsstufen!$H$7:$H$19)))</f>
        <v/>
      </c>
      <c r="AB613" s="250" t="str">
        <f>IF((($A613="")*($B613=""))+((MID($Y613,1,4)&lt;&gt;"Wahl")*(Deckblatt!$C$14='WK-Vorlagen'!$C$82))+(Deckblatt!$C$14&lt;&gt;'WK-Vorlagen'!$C$82),"",IF(ISERROR(MATCH(VALUE(MID(H613,1,2)),Schwierigkeitsstufen!$G$7:$G$19,0)),"Gerät falsch",LOOKUP(VALUE(MID(H613,1,2)),Schwierigkeitsstufen!$G$7:$G$19,Schwierigkeitsstufen!$H$7:$H$19)))</f>
        <v/>
      </c>
      <c r="AC613" s="250" t="str">
        <f>IF((($A613="")*($B613=""))+((MID($Y613,1,4)&lt;&gt;"Wahl")*(Deckblatt!$C$14='WK-Vorlagen'!$C$82))+(Deckblatt!$C$14&lt;&gt;'WK-Vorlagen'!$C$82),"",IF(ISERROR(MATCH(VALUE(MID(I613,1,2)),Schwierigkeitsstufen!$G$7:$G$19,0)),"Gerät falsch",LOOKUP(VALUE(MID(I613,1,2)),Schwierigkeitsstufen!$G$7:$G$19,Schwierigkeitsstufen!$H$7:$H$19)))</f>
        <v/>
      </c>
      <c r="AD613" s="251" t="str">
        <f>IF((($A613="")*($B613=""))+((MID($Y613,1,4)&lt;&gt;"Wahl")*(Deckblatt!$C$14='WK-Vorlagen'!$C$82))+(Deckblatt!$C$14&lt;&gt;'WK-Vorlagen'!$C$82),"",IF(ISERROR(MATCH(VALUE(MID(J613,1,2)),Schwierigkeitsstufen!$G$7:$G$19,0)),"Gerät falsch",LOOKUP(VALUE(MID(J613,1,2)),Schwierigkeitsstufen!$G$7:$G$19,Schwierigkeitsstufen!$H$7:$H$19)))</f>
        <v/>
      </c>
      <c r="AE613" s="211"/>
      <c r="AG613" s="221" t="str">
        <f t="shared" si="81"/>
        <v/>
      </c>
      <c r="AH613" s="222" t="str">
        <f t="shared" si="83"/>
        <v/>
      </c>
      <c r="AI613" s="220">
        <f t="shared" si="88"/>
        <v>4</v>
      </c>
      <c r="AJ613" s="222">
        <f t="shared" si="84"/>
        <v>0</v>
      </c>
      <c r="AK613" s="299" t="str">
        <f>IF(ISERROR(LOOKUP(E613,WKNrListe,Übersicht!$R$7:$R$46)),"-",LOOKUP(E613,WKNrListe,Übersicht!$R$7:$R$46))</f>
        <v>-</v>
      </c>
      <c r="AL613" s="299" t="str">
        <f t="shared" si="87"/>
        <v>-</v>
      </c>
      <c r="AM613" s="303"/>
      <c r="AN613" s="174" t="str">
        <f t="shared" si="80"/>
        <v>Leer</v>
      </c>
    </row>
    <row r="614" spans="1:40" s="174" customFormat="1" ht="15" customHeight="1">
      <c r="A614" s="63"/>
      <c r="B614" s="63"/>
      <c r="C614" s="84"/>
      <c r="D614" s="85"/>
      <c r="E614" s="62"/>
      <c r="F614" s="62"/>
      <c r="G614" s="62"/>
      <c r="H614" s="62"/>
      <c r="I614" s="62"/>
      <c r="J614" s="62"/>
      <c r="K614" s="62"/>
      <c r="L614" s="62"/>
      <c r="M614" s="62"/>
      <c r="N614" s="62"/>
      <c r="O614" s="62"/>
      <c r="P614" s="62"/>
      <c r="Q614" s="62"/>
      <c r="R614" s="62"/>
      <c r="S614" s="258"/>
      <c r="T614" s="248" t="str">
        <f t="shared" si="85"/>
        <v/>
      </c>
      <c r="U614" s="249" t="str">
        <f t="shared" si="86"/>
        <v/>
      </c>
      <c r="V614" s="294" t="str">
        <f t="shared" si="82"/>
        <v/>
      </c>
      <c r="W614" s="294" t="str">
        <f>IF(((E614="")+(F614="")),"",IF(VLOOKUP(F614,Mannschaften!$A$1:$B$54,2,FALSE)&lt;&gt;E614,"Reiter Mannschaften füllen",""))</f>
        <v/>
      </c>
      <c r="X614" s="248" t="str">
        <f>IF(ISBLANK(C614),"",IF((U614&gt;(LOOKUP(E614,WKNrListe,Übersicht!$O$7:$O$46)))+(U614&lt;(LOOKUP(E614,WKNrListe,Übersicht!$P$7:$P$46))),"JG falsch",""))</f>
        <v/>
      </c>
      <c r="Y614" s="255" t="str">
        <f>IF((A614="")*(B614=""),"",IF(ISERROR(MATCH(E614,WKNrListe,0)),"WK falsch",LOOKUP(E614,WKNrListe,Übersicht!$B$7:$B$46)))</f>
        <v/>
      </c>
      <c r="Z614" s="269" t="str">
        <f>IF(((AJ614=0)*(AH614&lt;&gt;"")*(AK614="-"))+((AJ614&lt;&gt;0)*(AH614&lt;&gt;"")*(AK614="-")),IF(AG614="X",Übersicht!$C$70,Übersicht!$C$69),"-")</f>
        <v>-</v>
      </c>
      <c r="AA614" s="252" t="str">
        <f>IF((($A614="")*($B614=""))+((MID($Y614,1,4)&lt;&gt;"Wahl")*(Deckblatt!$C$14='WK-Vorlagen'!$C$82))+(Deckblatt!$C$14&lt;&gt;'WK-Vorlagen'!$C$82),"",IF(ISERROR(MATCH(VALUE(MID(G614,1,2)),Schwierigkeitsstufen!$G$7:$G$19,0)),"Gerät falsch",LOOKUP(VALUE(MID(G614,1,2)),Schwierigkeitsstufen!$G$7:$G$19,Schwierigkeitsstufen!$H$7:$H$19)))</f>
        <v/>
      </c>
      <c r="AB614" s="250" t="str">
        <f>IF((($A614="")*($B614=""))+((MID($Y614,1,4)&lt;&gt;"Wahl")*(Deckblatt!$C$14='WK-Vorlagen'!$C$82))+(Deckblatt!$C$14&lt;&gt;'WK-Vorlagen'!$C$82),"",IF(ISERROR(MATCH(VALUE(MID(H614,1,2)),Schwierigkeitsstufen!$G$7:$G$19,0)),"Gerät falsch",LOOKUP(VALUE(MID(H614,1,2)),Schwierigkeitsstufen!$G$7:$G$19,Schwierigkeitsstufen!$H$7:$H$19)))</f>
        <v/>
      </c>
      <c r="AC614" s="250" t="str">
        <f>IF((($A614="")*($B614=""))+((MID($Y614,1,4)&lt;&gt;"Wahl")*(Deckblatt!$C$14='WK-Vorlagen'!$C$82))+(Deckblatt!$C$14&lt;&gt;'WK-Vorlagen'!$C$82),"",IF(ISERROR(MATCH(VALUE(MID(I614,1,2)),Schwierigkeitsstufen!$G$7:$G$19,0)),"Gerät falsch",LOOKUP(VALUE(MID(I614,1,2)),Schwierigkeitsstufen!$G$7:$G$19,Schwierigkeitsstufen!$H$7:$H$19)))</f>
        <v/>
      </c>
      <c r="AD614" s="251" t="str">
        <f>IF((($A614="")*($B614=""))+((MID($Y614,1,4)&lt;&gt;"Wahl")*(Deckblatt!$C$14='WK-Vorlagen'!$C$82))+(Deckblatt!$C$14&lt;&gt;'WK-Vorlagen'!$C$82),"",IF(ISERROR(MATCH(VALUE(MID(J614,1,2)),Schwierigkeitsstufen!$G$7:$G$19,0)),"Gerät falsch",LOOKUP(VALUE(MID(J614,1,2)),Schwierigkeitsstufen!$G$7:$G$19,Schwierigkeitsstufen!$H$7:$H$19)))</f>
        <v/>
      </c>
      <c r="AE614" s="211"/>
      <c r="AG614" s="221" t="str">
        <f t="shared" si="81"/>
        <v/>
      </c>
      <c r="AH614" s="222" t="str">
        <f t="shared" si="83"/>
        <v/>
      </c>
      <c r="AI614" s="220">
        <f t="shared" si="88"/>
        <v>4</v>
      </c>
      <c r="AJ614" s="222">
        <f t="shared" si="84"/>
        <v>0</v>
      </c>
      <c r="AK614" s="299" t="str">
        <f>IF(ISERROR(LOOKUP(E614,WKNrListe,Übersicht!$R$7:$R$46)),"-",LOOKUP(E614,WKNrListe,Übersicht!$R$7:$R$46))</f>
        <v>-</v>
      </c>
      <c r="AL614" s="299" t="str">
        <f t="shared" si="87"/>
        <v>-</v>
      </c>
      <c r="AM614" s="303"/>
      <c r="AN614" s="174" t="str">
        <f t="shared" si="80"/>
        <v>Leer</v>
      </c>
    </row>
    <row r="615" spans="1:40" s="174" customFormat="1" ht="15" customHeight="1">
      <c r="A615" s="63"/>
      <c r="B615" s="63"/>
      <c r="C615" s="84"/>
      <c r="D615" s="85"/>
      <c r="E615" s="62"/>
      <c r="F615" s="62"/>
      <c r="G615" s="62"/>
      <c r="H615" s="62"/>
      <c r="I615" s="62"/>
      <c r="J615" s="62"/>
      <c r="K615" s="62"/>
      <c r="L615" s="62"/>
      <c r="M615" s="62"/>
      <c r="N615" s="62"/>
      <c r="O615" s="62"/>
      <c r="P615" s="62"/>
      <c r="Q615" s="62"/>
      <c r="R615" s="62"/>
      <c r="S615" s="258"/>
      <c r="T615" s="248" t="str">
        <f t="shared" si="85"/>
        <v/>
      </c>
      <c r="U615" s="249" t="str">
        <f t="shared" si="86"/>
        <v/>
      </c>
      <c r="V615" s="294" t="str">
        <f t="shared" si="82"/>
        <v/>
      </c>
      <c r="W615" s="294" t="str">
        <f>IF(((E615="")+(F615="")),"",IF(VLOOKUP(F615,Mannschaften!$A$1:$B$54,2,FALSE)&lt;&gt;E615,"Reiter Mannschaften füllen",""))</f>
        <v/>
      </c>
      <c r="X615" s="248" t="str">
        <f>IF(ISBLANK(C615),"",IF((U615&gt;(LOOKUP(E615,WKNrListe,Übersicht!$O$7:$O$46)))+(U615&lt;(LOOKUP(E615,WKNrListe,Übersicht!$P$7:$P$46))),"JG falsch",""))</f>
        <v/>
      </c>
      <c r="Y615" s="255" t="str">
        <f>IF((A615="")*(B615=""),"",IF(ISERROR(MATCH(E615,WKNrListe,0)),"WK falsch",LOOKUP(E615,WKNrListe,Übersicht!$B$7:$B$46)))</f>
        <v/>
      </c>
      <c r="Z615" s="269" t="str">
        <f>IF(((AJ615=0)*(AH615&lt;&gt;"")*(AK615="-"))+((AJ615&lt;&gt;0)*(AH615&lt;&gt;"")*(AK615="-")),IF(AG615="X",Übersicht!$C$70,Übersicht!$C$69),"-")</f>
        <v>-</v>
      </c>
      <c r="AA615" s="252" t="str">
        <f>IF((($A615="")*($B615=""))+((MID($Y615,1,4)&lt;&gt;"Wahl")*(Deckblatt!$C$14='WK-Vorlagen'!$C$82))+(Deckblatt!$C$14&lt;&gt;'WK-Vorlagen'!$C$82),"",IF(ISERROR(MATCH(VALUE(MID(G615,1,2)),Schwierigkeitsstufen!$G$7:$G$19,0)),"Gerät falsch",LOOKUP(VALUE(MID(G615,1,2)),Schwierigkeitsstufen!$G$7:$G$19,Schwierigkeitsstufen!$H$7:$H$19)))</f>
        <v/>
      </c>
      <c r="AB615" s="250" t="str">
        <f>IF((($A615="")*($B615=""))+((MID($Y615,1,4)&lt;&gt;"Wahl")*(Deckblatt!$C$14='WK-Vorlagen'!$C$82))+(Deckblatt!$C$14&lt;&gt;'WK-Vorlagen'!$C$82),"",IF(ISERROR(MATCH(VALUE(MID(H615,1,2)),Schwierigkeitsstufen!$G$7:$G$19,0)),"Gerät falsch",LOOKUP(VALUE(MID(H615,1,2)),Schwierigkeitsstufen!$G$7:$G$19,Schwierigkeitsstufen!$H$7:$H$19)))</f>
        <v/>
      </c>
      <c r="AC615" s="250" t="str">
        <f>IF((($A615="")*($B615=""))+((MID($Y615,1,4)&lt;&gt;"Wahl")*(Deckblatt!$C$14='WK-Vorlagen'!$C$82))+(Deckblatt!$C$14&lt;&gt;'WK-Vorlagen'!$C$82),"",IF(ISERROR(MATCH(VALUE(MID(I615,1,2)),Schwierigkeitsstufen!$G$7:$G$19,0)),"Gerät falsch",LOOKUP(VALUE(MID(I615,1,2)),Schwierigkeitsstufen!$G$7:$G$19,Schwierigkeitsstufen!$H$7:$H$19)))</f>
        <v/>
      </c>
      <c r="AD615" s="251" t="str">
        <f>IF((($A615="")*($B615=""))+((MID($Y615,1,4)&lt;&gt;"Wahl")*(Deckblatt!$C$14='WK-Vorlagen'!$C$82))+(Deckblatt!$C$14&lt;&gt;'WK-Vorlagen'!$C$82),"",IF(ISERROR(MATCH(VALUE(MID(J615,1,2)),Schwierigkeitsstufen!$G$7:$G$19,0)),"Gerät falsch",LOOKUP(VALUE(MID(J615,1,2)),Schwierigkeitsstufen!$G$7:$G$19,Schwierigkeitsstufen!$H$7:$H$19)))</f>
        <v/>
      </c>
      <c r="AE615" s="211"/>
      <c r="AG615" s="221" t="str">
        <f t="shared" si="81"/>
        <v/>
      </c>
      <c r="AH615" s="222" t="str">
        <f t="shared" si="83"/>
        <v/>
      </c>
      <c r="AI615" s="220">
        <f t="shared" si="88"/>
        <v>4</v>
      </c>
      <c r="AJ615" s="222">
        <f t="shared" si="84"/>
        <v>0</v>
      </c>
      <c r="AK615" s="299" t="str">
        <f>IF(ISERROR(LOOKUP(E615,WKNrListe,Übersicht!$R$7:$R$46)),"-",LOOKUP(E615,WKNrListe,Übersicht!$R$7:$R$46))</f>
        <v>-</v>
      </c>
      <c r="AL615" s="299" t="str">
        <f t="shared" si="87"/>
        <v>-</v>
      </c>
      <c r="AM615" s="303"/>
      <c r="AN615" s="174" t="str">
        <f t="shared" si="80"/>
        <v>Leer</v>
      </c>
    </row>
    <row r="616" spans="1:40" s="174" customFormat="1" ht="15" customHeight="1">
      <c r="A616" s="63"/>
      <c r="B616" s="63"/>
      <c r="C616" s="84"/>
      <c r="D616" s="85"/>
      <c r="E616" s="62"/>
      <c r="F616" s="62"/>
      <c r="G616" s="62"/>
      <c r="H616" s="62"/>
      <c r="I616" s="62"/>
      <c r="J616" s="62"/>
      <c r="K616" s="62"/>
      <c r="L616" s="62"/>
      <c r="M616" s="62"/>
      <c r="N616" s="62"/>
      <c r="O616" s="62"/>
      <c r="P616" s="62"/>
      <c r="Q616" s="62"/>
      <c r="R616" s="62"/>
      <c r="S616" s="258"/>
      <c r="T616" s="248" t="str">
        <f t="shared" si="85"/>
        <v/>
      </c>
      <c r="U616" s="249" t="str">
        <f t="shared" si="86"/>
        <v/>
      </c>
      <c r="V616" s="294" t="str">
        <f t="shared" si="82"/>
        <v/>
      </c>
      <c r="W616" s="294" t="str">
        <f>IF(((E616="")+(F616="")),"",IF(VLOOKUP(F616,Mannschaften!$A$1:$B$54,2,FALSE)&lt;&gt;E616,"Reiter Mannschaften füllen",""))</f>
        <v/>
      </c>
      <c r="X616" s="248" t="str">
        <f>IF(ISBLANK(C616),"",IF((U616&gt;(LOOKUP(E616,WKNrListe,Übersicht!$O$7:$O$46)))+(U616&lt;(LOOKUP(E616,WKNrListe,Übersicht!$P$7:$P$46))),"JG falsch",""))</f>
        <v/>
      </c>
      <c r="Y616" s="255" t="str">
        <f>IF((A616="")*(B616=""),"",IF(ISERROR(MATCH(E616,WKNrListe,0)),"WK falsch",LOOKUP(E616,WKNrListe,Übersicht!$B$7:$B$46)))</f>
        <v/>
      </c>
      <c r="Z616" s="269" t="str">
        <f>IF(((AJ616=0)*(AH616&lt;&gt;"")*(AK616="-"))+((AJ616&lt;&gt;0)*(AH616&lt;&gt;"")*(AK616="-")),IF(AG616="X",Übersicht!$C$70,Übersicht!$C$69),"-")</f>
        <v>-</v>
      </c>
      <c r="AA616" s="252" t="str">
        <f>IF((($A616="")*($B616=""))+((MID($Y616,1,4)&lt;&gt;"Wahl")*(Deckblatt!$C$14='WK-Vorlagen'!$C$82))+(Deckblatt!$C$14&lt;&gt;'WK-Vorlagen'!$C$82),"",IF(ISERROR(MATCH(VALUE(MID(G616,1,2)),Schwierigkeitsstufen!$G$7:$G$19,0)),"Gerät falsch",LOOKUP(VALUE(MID(G616,1,2)),Schwierigkeitsstufen!$G$7:$G$19,Schwierigkeitsstufen!$H$7:$H$19)))</f>
        <v/>
      </c>
      <c r="AB616" s="250" t="str">
        <f>IF((($A616="")*($B616=""))+((MID($Y616,1,4)&lt;&gt;"Wahl")*(Deckblatt!$C$14='WK-Vorlagen'!$C$82))+(Deckblatt!$C$14&lt;&gt;'WK-Vorlagen'!$C$82),"",IF(ISERROR(MATCH(VALUE(MID(H616,1,2)),Schwierigkeitsstufen!$G$7:$G$19,0)),"Gerät falsch",LOOKUP(VALUE(MID(H616,1,2)),Schwierigkeitsstufen!$G$7:$G$19,Schwierigkeitsstufen!$H$7:$H$19)))</f>
        <v/>
      </c>
      <c r="AC616" s="250" t="str">
        <f>IF((($A616="")*($B616=""))+((MID($Y616,1,4)&lt;&gt;"Wahl")*(Deckblatt!$C$14='WK-Vorlagen'!$C$82))+(Deckblatt!$C$14&lt;&gt;'WK-Vorlagen'!$C$82),"",IF(ISERROR(MATCH(VALUE(MID(I616,1,2)),Schwierigkeitsstufen!$G$7:$G$19,0)),"Gerät falsch",LOOKUP(VALUE(MID(I616,1,2)),Schwierigkeitsstufen!$G$7:$G$19,Schwierigkeitsstufen!$H$7:$H$19)))</f>
        <v/>
      </c>
      <c r="AD616" s="251" t="str">
        <f>IF((($A616="")*($B616=""))+((MID($Y616,1,4)&lt;&gt;"Wahl")*(Deckblatt!$C$14='WK-Vorlagen'!$C$82))+(Deckblatt!$C$14&lt;&gt;'WK-Vorlagen'!$C$82),"",IF(ISERROR(MATCH(VALUE(MID(J616,1,2)),Schwierigkeitsstufen!$G$7:$G$19,0)),"Gerät falsch",LOOKUP(VALUE(MID(J616,1,2)),Schwierigkeitsstufen!$G$7:$G$19,Schwierigkeitsstufen!$H$7:$H$19)))</f>
        <v/>
      </c>
      <c r="AE616" s="211"/>
      <c r="AG616" s="221" t="str">
        <f t="shared" si="81"/>
        <v/>
      </c>
      <c r="AH616" s="222" t="str">
        <f t="shared" si="83"/>
        <v/>
      </c>
      <c r="AI616" s="220">
        <f t="shared" si="88"/>
        <v>4</v>
      </c>
      <c r="AJ616" s="222">
        <f t="shared" si="84"/>
        <v>0</v>
      </c>
      <c r="AK616" s="299" t="str">
        <f>IF(ISERROR(LOOKUP(E616,WKNrListe,Übersicht!$R$7:$R$46)),"-",LOOKUP(E616,WKNrListe,Übersicht!$R$7:$R$46))</f>
        <v>-</v>
      </c>
      <c r="AL616" s="299" t="str">
        <f t="shared" si="87"/>
        <v>-</v>
      </c>
      <c r="AM616" s="303"/>
      <c r="AN616" s="174" t="str">
        <f t="shared" si="80"/>
        <v>Leer</v>
      </c>
    </row>
    <row r="617" spans="1:40" s="174" customFormat="1" ht="15" customHeight="1">
      <c r="A617" s="63"/>
      <c r="B617" s="63"/>
      <c r="C617" s="84"/>
      <c r="D617" s="85"/>
      <c r="E617" s="62"/>
      <c r="F617" s="62"/>
      <c r="G617" s="62"/>
      <c r="H617" s="62"/>
      <c r="I617" s="62"/>
      <c r="J617" s="62"/>
      <c r="K617" s="62"/>
      <c r="L617" s="62"/>
      <c r="M617" s="62"/>
      <c r="N617" s="62"/>
      <c r="O617" s="62"/>
      <c r="P617" s="62"/>
      <c r="Q617" s="62"/>
      <c r="R617" s="62"/>
      <c r="S617" s="258"/>
      <c r="T617" s="248" t="str">
        <f t="shared" si="85"/>
        <v/>
      </c>
      <c r="U617" s="249" t="str">
        <f t="shared" si="86"/>
        <v/>
      </c>
      <c r="V617" s="294" t="str">
        <f t="shared" si="82"/>
        <v/>
      </c>
      <c r="W617" s="294" t="str">
        <f>IF(((E617="")+(F617="")),"",IF(VLOOKUP(F617,Mannschaften!$A$1:$B$54,2,FALSE)&lt;&gt;E617,"Reiter Mannschaften füllen",""))</f>
        <v/>
      </c>
      <c r="X617" s="248" t="str">
        <f>IF(ISBLANK(C617),"",IF((U617&gt;(LOOKUP(E617,WKNrListe,Übersicht!$O$7:$O$46)))+(U617&lt;(LOOKUP(E617,WKNrListe,Übersicht!$P$7:$P$46))),"JG falsch",""))</f>
        <v/>
      </c>
      <c r="Y617" s="255" t="str">
        <f>IF((A617="")*(B617=""),"",IF(ISERROR(MATCH(E617,WKNrListe,0)),"WK falsch",LOOKUP(E617,WKNrListe,Übersicht!$B$7:$B$46)))</f>
        <v/>
      </c>
      <c r="Z617" s="269" t="str">
        <f>IF(((AJ617=0)*(AH617&lt;&gt;"")*(AK617="-"))+((AJ617&lt;&gt;0)*(AH617&lt;&gt;"")*(AK617="-")),IF(AG617="X",Übersicht!$C$70,Übersicht!$C$69),"-")</f>
        <v>-</v>
      </c>
      <c r="AA617" s="252" t="str">
        <f>IF((($A617="")*($B617=""))+((MID($Y617,1,4)&lt;&gt;"Wahl")*(Deckblatt!$C$14='WK-Vorlagen'!$C$82))+(Deckblatt!$C$14&lt;&gt;'WK-Vorlagen'!$C$82),"",IF(ISERROR(MATCH(VALUE(MID(G617,1,2)),Schwierigkeitsstufen!$G$7:$G$19,0)),"Gerät falsch",LOOKUP(VALUE(MID(G617,1,2)),Schwierigkeitsstufen!$G$7:$G$19,Schwierigkeitsstufen!$H$7:$H$19)))</f>
        <v/>
      </c>
      <c r="AB617" s="250" t="str">
        <f>IF((($A617="")*($B617=""))+((MID($Y617,1,4)&lt;&gt;"Wahl")*(Deckblatt!$C$14='WK-Vorlagen'!$C$82))+(Deckblatt!$C$14&lt;&gt;'WK-Vorlagen'!$C$82),"",IF(ISERROR(MATCH(VALUE(MID(H617,1,2)),Schwierigkeitsstufen!$G$7:$G$19,0)),"Gerät falsch",LOOKUP(VALUE(MID(H617,1,2)),Schwierigkeitsstufen!$G$7:$G$19,Schwierigkeitsstufen!$H$7:$H$19)))</f>
        <v/>
      </c>
      <c r="AC617" s="250" t="str">
        <f>IF((($A617="")*($B617=""))+((MID($Y617,1,4)&lt;&gt;"Wahl")*(Deckblatt!$C$14='WK-Vorlagen'!$C$82))+(Deckblatt!$C$14&lt;&gt;'WK-Vorlagen'!$C$82),"",IF(ISERROR(MATCH(VALUE(MID(I617,1,2)),Schwierigkeitsstufen!$G$7:$G$19,0)),"Gerät falsch",LOOKUP(VALUE(MID(I617,1,2)),Schwierigkeitsstufen!$G$7:$G$19,Schwierigkeitsstufen!$H$7:$H$19)))</f>
        <v/>
      </c>
      <c r="AD617" s="251" t="str">
        <f>IF((($A617="")*($B617=""))+((MID($Y617,1,4)&lt;&gt;"Wahl")*(Deckblatt!$C$14='WK-Vorlagen'!$C$82))+(Deckblatt!$C$14&lt;&gt;'WK-Vorlagen'!$C$82),"",IF(ISERROR(MATCH(VALUE(MID(J617,1,2)),Schwierigkeitsstufen!$G$7:$G$19,0)),"Gerät falsch",LOOKUP(VALUE(MID(J617,1,2)),Schwierigkeitsstufen!$G$7:$G$19,Schwierigkeitsstufen!$H$7:$H$19)))</f>
        <v/>
      </c>
      <c r="AE617" s="211"/>
      <c r="AG617" s="221" t="str">
        <f t="shared" si="81"/>
        <v/>
      </c>
      <c r="AH617" s="222" t="str">
        <f t="shared" si="83"/>
        <v/>
      </c>
      <c r="AI617" s="220">
        <f t="shared" si="88"/>
        <v>4</v>
      </c>
      <c r="AJ617" s="222">
        <f t="shared" si="84"/>
        <v>0</v>
      </c>
      <c r="AK617" s="299" t="str">
        <f>IF(ISERROR(LOOKUP(E617,WKNrListe,Übersicht!$R$7:$R$46)),"-",LOOKUP(E617,WKNrListe,Übersicht!$R$7:$R$46))</f>
        <v>-</v>
      </c>
      <c r="AL617" s="299" t="str">
        <f t="shared" si="87"/>
        <v>-</v>
      </c>
      <c r="AM617" s="303"/>
      <c r="AN617" s="174" t="str">
        <f t="shared" si="80"/>
        <v>Leer</v>
      </c>
    </row>
    <row r="618" spans="1:40" s="174" customFormat="1" ht="15" customHeight="1">
      <c r="A618" s="63"/>
      <c r="B618" s="63"/>
      <c r="C618" s="84"/>
      <c r="D618" s="85"/>
      <c r="E618" s="62"/>
      <c r="F618" s="62"/>
      <c r="G618" s="62"/>
      <c r="H618" s="62"/>
      <c r="I618" s="62"/>
      <c r="J618" s="62"/>
      <c r="K618" s="62"/>
      <c r="L618" s="62"/>
      <c r="M618" s="62"/>
      <c r="N618" s="62"/>
      <c r="O618" s="62"/>
      <c r="P618" s="62"/>
      <c r="Q618" s="62"/>
      <c r="R618" s="62"/>
      <c r="S618" s="258"/>
      <c r="T618" s="248" t="str">
        <f t="shared" si="85"/>
        <v/>
      </c>
      <c r="U618" s="249" t="str">
        <f t="shared" si="86"/>
        <v/>
      </c>
      <c r="V618" s="294" t="str">
        <f t="shared" si="82"/>
        <v/>
      </c>
      <c r="W618" s="294" t="str">
        <f>IF(((E618="")+(F618="")),"",IF(VLOOKUP(F618,Mannschaften!$A$1:$B$54,2,FALSE)&lt;&gt;E618,"Reiter Mannschaften füllen",""))</f>
        <v/>
      </c>
      <c r="X618" s="248" t="str">
        <f>IF(ISBLANK(C618),"",IF((U618&gt;(LOOKUP(E618,WKNrListe,Übersicht!$O$7:$O$46)))+(U618&lt;(LOOKUP(E618,WKNrListe,Übersicht!$P$7:$P$46))),"JG falsch",""))</f>
        <v/>
      </c>
      <c r="Y618" s="255" t="str">
        <f>IF((A618="")*(B618=""),"",IF(ISERROR(MATCH(E618,WKNrListe,0)),"WK falsch",LOOKUP(E618,WKNrListe,Übersicht!$B$7:$B$46)))</f>
        <v/>
      </c>
      <c r="Z618" s="269" t="str">
        <f>IF(((AJ618=0)*(AH618&lt;&gt;"")*(AK618="-"))+((AJ618&lt;&gt;0)*(AH618&lt;&gt;"")*(AK618="-")),IF(AG618="X",Übersicht!$C$70,Übersicht!$C$69),"-")</f>
        <v>-</v>
      </c>
      <c r="AA618" s="252" t="str">
        <f>IF((($A618="")*($B618=""))+((MID($Y618,1,4)&lt;&gt;"Wahl")*(Deckblatt!$C$14='WK-Vorlagen'!$C$82))+(Deckblatt!$C$14&lt;&gt;'WK-Vorlagen'!$C$82),"",IF(ISERROR(MATCH(VALUE(MID(G618,1,2)),Schwierigkeitsstufen!$G$7:$G$19,0)),"Gerät falsch",LOOKUP(VALUE(MID(G618,1,2)),Schwierigkeitsstufen!$G$7:$G$19,Schwierigkeitsstufen!$H$7:$H$19)))</f>
        <v/>
      </c>
      <c r="AB618" s="250" t="str">
        <f>IF((($A618="")*($B618=""))+((MID($Y618,1,4)&lt;&gt;"Wahl")*(Deckblatt!$C$14='WK-Vorlagen'!$C$82))+(Deckblatt!$C$14&lt;&gt;'WK-Vorlagen'!$C$82),"",IF(ISERROR(MATCH(VALUE(MID(H618,1,2)),Schwierigkeitsstufen!$G$7:$G$19,0)),"Gerät falsch",LOOKUP(VALUE(MID(H618,1,2)),Schwierigkeitsstufen!$G$7:$G$19,Schwierigkeitsstufen!$H$7:$H$19)))</f>
        <v/>
      </c>
      <c r="AC618" s="250" t="str">
        <f>IF((($A618="")*($B618=""))+((MID($Y618,1,4)&lt;&gt;"Wahl")*(Deckblatt!$C$14='WK-Vorlagen'!$C$82))+(Deckblatt!$C$14&lt;&gt;'WK-Vorlagen'!$C$82),"",IF(ISERROR(MATCH(VALUE(MID(I618,1,2)),Schwierigkeitsstufen!$G$7:$G$19,0)),"Gerät falsch",LOOKUP(VALUE(MID(I618,1,2)),Schwierigkeitsstufen!$G$7:$G$19,Schwierigkeitsstufen!$H$7:$H$19)))</f>
        <v/>
      </c>
      <c r="AD618" s="251" t="str">
        <f>IF((($A618="")*($B618=""))+((MID($Y618,1,4)&lt;&gt;"Wahl")*(Deckblatt!$C$14='WK-Vorlagen'!$C$82))+(Deckblatt!$C$14&lt;&gt;'WK-Vorlagen'!$C$82),"",IF(ISERROR(MATCH(VALUE(MID(J618,1,2)),Schwierigkeitsstufen!$G$7:$G$19,0)),"Gerät falsch",LOOKUP(VALUE(MID(J618,1,2)),Schwierigkeitsstufen!$G$7:$G$19,Schwierigkeitsstufen!$H$7:$H$19)))</f>
        <v/>
      </c>
      <c r="AE618" s="211"/>
      <c r="AG618" s="221" t="str">
        <f t="shared" si="81"/>
        <v/>
      </c>
      <c r="AH618" s="222" t="str">
        <f t="shared" si="83"/>
        <v/>
      </c>
      <c r="AI618" s="220">
        <f t="shared" si="88"/>
        <v>4</v>
      </c>
      <c r="AJ618" s="222">
        <f t="shared" si="84"/>
        <v>0</v>
      </c>
      <c r="AK618" s="299" t="str">
        <f>IF(ISERROR(LOOKUP(E618,WKNrListe,Übersicht!$R$7:$R$46)),"-",LOOKUP(E618,WKNrListe,Übersicht!$R$7:$R$46))</f>
        <v>-</v>
      </c>
      <c r="AL618" s="299" t="str">
        <f t="shared" si="87"/>
        <v>-</v>
      </c>
      <c r="AM618" s="303"/>
      <c r="AN618" s="174" t="str">
        <f t="shared" si="80"/>
        <v>Leer</v>
      </c>
    </row>
    <row r="619" spans="1:40" s="174" customFormat="1" ht="15" customHeight="1">
      <c r="A619" s="63"/>
      <c r="B619" s="63"/>
      <c r="C619" s="84"/>
      <c r="D619" s="85"/>
      <c r="E619" s="62"/>
      <c r="F619" s="62"/>
      <c r="G619" s="62"/>
      <c r="H619" s="62"/>
      <c r="I619" s="62"/>
      <c r="J619" s="62"/>
      <c r="K619" s="62"/>
      <c r="L619" s="62"/>
      <c r="M619" s="62"/>
      <c r="N619" s="62"/>
      <c r="O619" s="62"/>
      <c r="P619" s="62"/>
      <c r="Q619" s="62"/>
      <c r="R619" s="62"/>
      <c r="S619" s="258"/>
      <c r="T619" s="248" t="str">
        <f t="shared" si="85"/>
        <v/>
      </c>
      <c r="U619" s="249" t="str">
        <f t="shared" si="86"/>
        <v/>
      </c>
      <c r="V619" s="294" t="str">
        <f t="shared" si="82"/>
        <v/>
      </c>
      <c r="W619" s="294" t="str">
        <f>IF(((E619="")+(F619="")),"",IF(VLOOKUP(F619,Mannschaften!$A$1:$B$54,2,FALSE)&lt;&gt;E619,"Reiter Mannschaften füllen",""))</f>
        <v/>
      </c>
      <c r="X619" s="248" t="str">
        <f>IF(ISBLANK(C619),"",IF((U619&gt;(LOOKUP(E619,WKNrListe,Übersicht!$O$7:$O$46)))+(U619&lt;(LOOKUP(E619,WKNrListe,Übersicht!$P$7:$P$46))),"JG falsch",""))</f>
        <v/>
      </c>
      <c r="Y619" s="255" t="str">
        <f>IF((A619="")*(B619=""),"",IF(ISERROR(MATCH(E619,WKNrListe,0)),"WK falsch",LOOKUP(E619,WKNrListe,Übersicht!$B$7:$B$46)))</f>
        <v/>
      </c>
      <c r="Z619" s="269" t="str">
        <f>IF(((AJ619=0)*(AH619&lt;&gt;"")*(AK619="-"))+((AJ619&lt;&gt;0)*(AH619&lt;&gt;"")*(AK619="-")),IF(AG619="X",Übersicht!$C$70,Übersicht!$C$69),"-")</f>
        <v>-</v>
      </c>
      <c r="AA619" s="252" t="str">
        <f>IF((($A619="")*($B619=""))+((MID($Y619,1,4)&lt;&gt;"Wahl")*(Deckblatt!$C$14='WK-Vorlagen'!$C$82))+(Deckblatt!$C$14&lt;&gt;'WK-Vorlagen'!$C$82),"",IF(ISERROR(MATCH(VALUE(MID(G619,1,2)),Schwierigkeitsstufen!$G$7:$G$19,0)),"Gerät falsch",LOOKUP(VALUE(MID(G619,1,2)),Schwierigkeitsstufen!$G$7:$G$19,Schwierigkeitsstufen!$H$7:$H$19)))</f>
        <v/>
      </c>
      <c r="AB619" s="250" t="str">
        <f>IF((($A619="")*($B619=""))+((MID($Y619,1,4)&lt;&gt;"Wahl")*(Deckblatt!$C$14='WK-Vorlagen'!$C$82))+(Deckblatt!$C$14&lt;&gt;'WK-Vorlagen'!$C$82),"",IF(ISERROR(MATCH(VALUE(MID(H619,1,2)),Schwierigkeitsstufen!$G$7:$G$19,0)),"Gerät falsch",LOOKUP(VALUE(MID(H619,1,2)),Schwierigkeitsstufen!$G$7:$G$19,Schwierigkeitsstufen!$H$7:$H$19)))</f>
        <v/>
      </c>
      <c r="AC619" s="250" t="str">
        <f>IF((($A619="")*($B619=""))+((MID($Y619,1,4)&lt;&gt;"Wahl")*(Deckblatt!$C$14='WK-Vorlagen'!$C$82))+(Deckblatt!$C$14&lt;&gt;'WK-Vorlagen'!$C$82),"",IF(ISERROR(MATCH(VALUE(MID(I619,1,2)),Schwierigkeitsstufen!$G$7:$G$19,0)),"Gerät falsch",LOOKUP(VALUE(MID(I619,1,2)),Schwierigkeitsstufen!$G$7:$G$19,Schwierigkeitsstufen!$H$7:$H$19)))</f>
        <v/>
      </c>
      <c r="AD619" s="251" t="str">
        <f>IF((($A619="")*($B619=""))+((MID($Y619,1,4)&lt;&gt;"Wahl")*(Deckblatt!$C$14='WK-Vorlagen'!$C$82))+(Deckblatt!$C$14&lt;&gt;'WK-Vorlagen'!$C$82),"",IF(ISERROR(MATCH(VALUE(MID(J619,1,2)),Schwierigkeitsstufen!$G$7:$G$19,0)),"Gerät falsch",LOOKUP(VALUE(MID(J619,1,2)),Schwierigkeitsstufen!$G$7:$G$19,Schwierigkeitsstufen!$H$7:$H$19)))</f>
        <v/>
      </c>
      <c r="AE619" s="211"/>
      <c r="AG619" s="221" t="str">
        <f t="shared" si="81"/>
        <v/>
      </c>
      <c r="AH619" s="222" t="str">
        <f t="shared" si="83"/>
        <v/>
      </c>
      <c r="AI619" s="220">
        <f t="shared" si="88"/>
        <v>4</v>
      </c>
      <c r="AJ619" s="222">
        <f t="shared" si="84"/>
        <v>0</v>
      </c>
      <c r="AK619" s="299" t="str">
        <f>IF(ISERROR(LOOKUP(E619,WKNrListe,Übersicht!$R$7:$R$46)),"-",LOOKUP(E619,WKNrListe,Übersicht!$R$7:$R$46))</f>
        <v>-</v>
      </c>
      <c r="AL619" s="299" t="str">
        <f t="shared" si="87"/>
        <v>-</v>
      </c>
      <c r="AM619" s="303"/>
      <c r="AN619" s="174" t="str">
        <f t="shared" si="80"/>
        <v>Leer</v>
      </c>
    </row>
    <row r="620" spans="1:40" s="174" customFormat="1" ht="15" customHeight="1">
      <c r="A620" s="63"/>
      <c r="B620" s="63"/>
      <c r="C620" s="84"/>
      <c r="D620" s="85"/>
      <c r="E620" s="62"/>
      <c r="F620" s="62"/>
      <c r="G620" s="62"/>
      <c r="H620" s="62"/>
      <c r="I620" s="62"/>
      <c r="J620" s="62"/>
      <c r="K620" s="62"/>
      <c r="L620" s="62"/>
      <c r="M620" s="62"/>
      <c r="N620" s="62"/>
      <c r="O620" s="62"/>
      <c r="P620" s="62"/>
      <c r="Q620" s="62"/>
      <c r="R620" s="62"/>
      <c r="S620" s="258"/>
      <c r="T620" s="248" t="str">
        <f t="shared" si="85"/>
        <v/>
      </c>
      <c r="U620" s="249" t="str">
        <f t="shared" si="86"/>
        <v/>
      </c>
      <c r="V620" s="294" t="str">
        <f t="shared" si="82"/>
        <v/>
      </c>
      <c r="W620" s="294" t="str">
        <f>IF(((E620="")+(F620="")),"",IF(VLOOKUP(F620,Mannschaften!$A$1:$B$54,2,FALSE)&lt;&gt;E620,"Reiter Mannschaften füllen",""))</f>
        <v/>
      </c>
      <c r="X620" s="248" t="str">
        <f>IF(ISBLANK(C620),"",IF((U620&gt;(LOOKUP(E620,WKNrListe,Übersicht!$O$7:$O$46)))+(U620&lt;(LOOKUP(E620,WKNrListe,Übersicht!$P$7:$P$46))),"JG falsch",""))</f>
        <v/>
      </c>
      <c r="Y620" s="255" t="str">
        <f>IF((A620="")*(B620=""),"",IF(ISERROR(MATCH(E620,WKNrListe,0)),"WK falsch",LOOKUP(E620,WKNrListe,Übersicht!$B$7:$B$46)))</f>
        <v/>
      </c>
      <c r="Z620" s="269" t="str">
        <f>IF(((AJ620=0)*(AH620&lt;&gt;"")*(AK620="-"))+((AJ620&lt;&gt;0)*(AH620&lt;&gt;"")*(AK620="-")),IF(AG620="X",Übersicht!$C$70,Übersicht!$C$69),"-")</f>
        <v>-</v>
      </c>
      <c r="AA620" s="252" t="str">
        <f>IF((($A620="")*($B620=""))+((MID($Y620,1,4)&lt;&gt;"Wahl")*(Deckblatt!$C$14='WK-Vorlagen'!$C$82))+(Deckblatt!$C$14&lt;&gt;'WK-Vorlagen'!$C$82),"",IF(ISERROR(MATCH(VALUE(MID(G620,1,2)),Schwierigkeitsstufen!$G$7:$G$19,0)),"Gerät falsch",LOOKUP(VALUE(MID(G620,1,2)),Schwierigkeitsstufen!$G$7:$G$19,Schwierigkeitsstufen!$H$7:$H$19)))</f>
        <v/>
      </c>
      <c r="AB620" s="250" t="str">
        <f>IF((($A620="")*($B620=""))+((MID($Y620,1,4)&lt;&gt;"Wahl")*(Deckblatt!$C$14='WK-Vorlagen'!$C$82))+(Deckblatt!$C$14&lt;&gt;'WK-Vorlagen'!$C$82),"",IF(ISERROR(MATCH(VALUE(MID(H620,1,2)),Schwierigkeitsstufen!$G$7:$G$19,0)),"Gerät falsch",LOOKUP(VALUE(MID(H620,1,2)),Schwierigkeitsstufen!$G$7:$G$19,Schwierigkeitsstufen!$H$7:$H$19)))</f>
        <v/>
      </c>
      <c r="AC620" s="250" t="str">
        <f>IF((($A620="")*($B620=""))+((MID($Y620,1,4)&lt;&gt;"Wahl")*(Deckblatt!$C$14='WK-Vorlagen'!$C$82))+(Deckblatt!$C$14&lt;&gt;'WK-Vorlagen'!$C$82),"",IF(ISERROR(MATCH(VALUE(MID(I620,1,2)),Schwierigkeitsstufen!$G$7:$G$19,0)),"Gerät falsch",LOOKUP(VALUE(MID(I620,1,2)),Schwierigkeitsstufen!$G$7:$G$19,Schwierigkeitsstufen!$H$7:$H$19)))</f>
        <v/>
      </c>
      <c r="AD620" s="251" t="str">
        <f>IF((($A620="")*($B620=""))+((MID($Y620,1,4)&lt;&gt;"Wahl")*(Deckblatt!$C$14='WK-Vorlagen'!$C$82))+(Deckblatt!$C$14&lt;&gt;'WK-Vorlagen'!$C$82),"",IF(ISERROR(MATCH(VALUE(MID(J620,1,2)),Schwierigkeitsstufen!$G$7:$G$19,0)),"Gerät falsch",LOOKUP(VALUE(MID(J620,1,2)),Schwierigkeitsstufen!$G$7:$G$19,Schwierigkeitsstufen!$H$7:$H$19)))</f>
        <v/>
      </c>
      <c r="AE620" s="211"/>
      <c r="AG620" s="221" t="str">
        <f t="shared" si="81"/>
        <v/>
      </c>
      <c r="AH620" s="222" t="str">
        <f t="shared" si="83"/>
        <v/>
      </c>
      <c r="AI620" s="220">
        <f t="shared" si="88"/>
        <v>4</v>
      </c>
      <c r="AJ620" s="222">
        <f t="shared" si="84"/>
        <v>0</v>
      </c>
      <c r="AK620" s="299" t="str">
        <f>IF(ISERROR(LOOKUP(E620,WKNrListe,Übersicht!$R$7:$R$46)),"-",LOOKUP(E620,WKNrListe,Übersicht!$R$7:$R$46))</f>
        <v>-</v>
      </c>
      <c r="AL620" s="299" t="str">
        <f t="shared" si="87"/>
        <v>-</v>
      </c>
      <c r="AM620" s="303"/>
      <c r="AN620" s="174" t="str">
        <f t="shared" si="80"/>
        <v>Leer</v>
      </c>
    </row>
    <row r="621" spans="1:40" s="174" customFormat="1" ht="15" customHeight="1">
      <c r="A621" s="63"/>
      <c r="B621" s="63"/>
      <c r="C621" s="84"/>
      <c r="D621" s="85"/>
      <c r="E621" s="62"/>
      <c r="F621" s="62"/>
      <c r="G621" s="62"/>
      <c r="H621" s="62"/>
      <c r="I621" s="62"/>
      <c r="J621" s="62"/>
      <c r="K621" s="62"/>
      <c r="L621" s="62"/>
      <c r="M621" s="62"/>
      <c r="N621" s="62"/>
      <c r="O621" s="62"/>
      <c r="P621" s="62"/>
      <c r="Q621" s="62"/>
      <c r="R621" s="62"/>
      <c r="S621" s="258"/>
      <c r="T621" s="248" t="str">
        <f t="shared" si="85"/>
        <v/>
      </c>
      <c r="U621" s="249" t="str">
        <f t="shared" si="86"/>
        <v/>
      </c>
      <c r="V621" s="294" t="str">
        <f t="shared" si="82"/>
        <v/>
      </c>
      <c r="W621" s="294" t="str">
        <f>IF(((E621="")+(F621="")),"",IF(VLOOKUP(F621,Mannschaften!$A$1:$B$54,2,FALSE)&lt;&gt;E621,"Reiter Mannschaften füllen",""))</f>
        <v/>
      </c>
      <c r="X621" s="248" t="str">
        <f>IF(ISBLANK(C621),"",IF((U621&gt;(LOOKUP(E621,WKNrListe,Übersicht!$O$7:$O$46)))+(U621&lt;(LOOKUP(E621,WKNrListe,Übersicht!$P$7:$P$46))),"JG falsch",""))</f>
        <v/>
      </c>
      <c r="Y621" s="255" t="str">
        <f>IF((A621="")*(B621=""),"",IF(ISERROR(MATCH(E621,WKNrListe,0)),"WK falsch",LOOKUP(E621,WKNrListe,Übersicht!$B$7:$B$46)))</f>
        <v/>
      </c>
      <c r="Z621" s="269" t="str">
        <f>IF(((AJ621=0)*(AH621&lt;&gt;"")*(AK621="-"))+((AJ621&lt;&gt;0)*(AH621&lt;&gt;"")*(AK621="-")),IF(AG621="X",Übersicht!$C$70,Übersicht!$C$69),"-")</f>
        <v>-</v>
      </c>
      <c r="AA621" s="252" t="str">
        <f>IF((($A621="")*($B621=""))+((MID($Y621,1,4)&lt;&gt;"Wahl")*(Deckblatt!$C$14='WK-Vorlagen'!$C$82))+(Deckblatt!$C$14&lt;&gt;'WK-Vorlagen'!$C$82),"",IF(ISERROR(MATCH(VALUE(MID(G621,1,2)),Schwierigkeitsstufen!$G$7:$G$19,0)),"Gerät falsch",LOOKUP(VALUE(MID(G621,1,2)),Schwierigkeitsstufen!$G$7:$G$19,Schwierigkeitsstufen!$H$7:$H$19)))</f>
        <v/>
      </c>
      <c r="AB621" s="250" t="str">
        <f>IF((($A621="")*($B621=""))+((MID($Y621,1,4)&lt;&gt;"Wahl")*(Deckblatt!$C$14='WK-Vorlagen'!$C$82))+(Deckblatt!$C$14&lt;&gt;'WK-Vorlagen'!$C$82),"",IF(ISERROR(MATCH(VALUE(MID(H621,1,2)),Schwierigkeitsstufen!$G$7:$G$19,0)),"Gerät falsch",LOOKUP(VALUE(MID(H621,1,2)),Schwierigkeitsstufen!$G$7:$G$19,Schwierigkeitsstufen!$H$7:$H$19)))</f>
        <v/>
      </c>
      <c r="AC621" s="250" t="str">
        <f>IF((($A621="")*($B621=""))+((MID($Y621,1,4)&lt;&gt;"Wahl")*(Deckblatt!$C$14='WK-Vorlagen'!$C$82))+(Deckblatt!$C$14&lt;&gt;'WK-Vorlagen'!$C$82),"",IF(ISERROR(MATCH(VALUE(MID(I621,1,2)),Schwierigkeitsstufen!$G$7:$G$19,0)),"Gerät falsch",LOOKUP(VALUE(MID(I621,1,2)),Schwierigkeitsstufen!$G$7:$G$19,Schwierigkeitsstufen!$H$7:$H$19)))</f>
        <v/>
      </c>
      <c r="AD621" s="251" t="str">
        <f>IF((($A621="")*($B621=""))+((MID($Y621,1,4)&lt;&gt;"Wahl")*(Deckblatt!$C$14='WK-Vorlagen'!$C$82))+(Deckblatt!$C$14&lt;&gt;'WK-Vorlagen'!$C$82),"",IF(ISERROR(MATCH(VALUE(MID(J621,1,2)),Schwierigkeitsstufen!$G$7:$G$19,0)),"Gerät falsch",LOOKUP(VALUE(MID(J621,1,2)),Schwierigkeitsstufen!$G$7:$G$19,Schwierigkeitsstufen!$H$7:$H$19)))</f>
        <v/>
      </c>
      <c r="AE621" s="211"/>
      <c r="AG621" s="221" t="str">
        <f t="shared" si="81"/>
        <v/>
      </c>
      <c r="AH621" s="222" t="str">
        <f t="shared" si="83"/>
        <v/>
      </c>
      <c r="AI621" s="220">
        <f t="shared" si="88"/>
        <v>4</v>
      </c>
      <c r="AJ621" s="222">
        <f t="shared" si="84"/>
        <v>0</v>
      </c>
      <c r="AK621" s="299" t="str">
        <f>IF(ISERROR(LOOKUP(E621,WKNrListe,Übersicht!$R$7:$R$46)),"-",LOOKUP(E621,WKNrListe,Übersicht!$R$7:$R$46))</f>
        <v>-</v>
      </c>
      <c r="AL621" s="299" t="str">
        <f t="shared" si="87"/>
        <v>-</v>
      </c>
      <c r="AM621" s="303"/>
      <c r="AN621" s="174" t="str">
        <f t="shared" si="80"/>
        <v>Leer</v>
      </c>
    </row>
    <row r="622" spans="1:40" s="174" customFormat="1" ht="15" customHeight="1">
      <c r="A622" s="63"/>
      <c r="B622" s="63"/>
      <c r="C622" s="84"/>
      <c r="D622" s="85"/>
      <c r="E622" s="62"/>
      <c r="F622" s="62"/>
      <c r="G622" s="62"/>
      <c r="H622" s="62"/>
      <c r="I622" s="62"/>
      <c r="J622" s="62"/>
      <c r="K622" s="62"/>
      <c r="L622" s="62"/>
      <c r="M622" s="62"/>
      <c r="N622" s="62"/>
      <c r="O622" s="62"/>
      <c r="P622" s="62"/>
      <c r="Q622" s="62"/>
      <c r="R622" s="62"/>
      <c r="S622" s="258"/>
      <c r="T622" s="248" t="str">
        <f t="shared" si="85"/>
        <v/>
      </c>
      <c r="U622" s="249" t="str">
        <f t="shared" si="86"/>
        <v/>
      </c>
      <c r="V622" s="294" t="str">
        <f t="shared" si="82"/>
        <v/>
      </c>
      <c r="W622" s="294" t="str">
        <f>IF(((E622="")+(F622="")),"",IF(VLOOKUP(F622,Mannschaften!$A$1:$B$54,2,FALSE)&lt;&gt;E622,"Reiter Mannschaften füllen",""))</f>
        <v/>
      </c>
      <c r="X622" s="248" t="str">
        <f>IF(ISBLANK(C622),"",IF((U622&gt;(LOOKUP(E622,WKNrListe,Übersicht!$O$7:$O$46)))+(U622&lt;(LOOKUP(E622,WKNrListe,Übersicht!$P$7:$P$46))),"JG falsch",""))</f>
        <v/>
      </c>
      <c r="Y622" s="255" t="str">
        <f>IF((A622="")*(B622=""),"",IF(ISERROR(MATCH(E622,WKNrListe,0)),"WK falsch",LOOKUP(E622,WKNrListe,Übersicht!$B$7:$B$46)))</f>
        <v/>
      </c>
      <c r="Z622" s="269" t="str">
        <f>IF(((AJ622=0)*(AH622&lt;&gt;"")*(AK622="-"))+((AJ622&lt;&gt;0)*(AH622&lt;&gt;"")*(AK622="-")),IF(AG622="X",Übersicht!$C$70,Übersicht!$C$69),"-")</f>
        <v>-</v>
      </c>
      <c r="AA622" s="252" t="str">
        <f>IF((($A622="")*($B622=""))+((MID($Y622,1,4)&lt;&gt;"Wahl")*(Deckblatt!$C$14='WK-Vorlagen'!$C$82))+(Deckblatt!$C$14&lt;&gt;'WK-Vorlagen'!$C$82),"",IF(ISERROR(MATCH(VALUE(MID(G622,1,2)),Schwierigkeitsstufen!$G$7:$G$19,0)),"Gerät falsch",LOOKUP(VALUE(MID(G622,1,2)),Schwierigkeitsstufen!$G$7:$G$19,Schwierigkeitsstufen!$H$7:$H$19)))</f>
        <v/>
      </c>
      <c r="AB622" s="250" t="str">
        <f>IF((($A622="")*($B622=""))+((MID($Y622,1,4)&lt;&gt;"Wahl")*(Deckblatt!$C$14='WK-Vorlagen'!$C$82))+(Deckblatt!$C$14&lt;&gt;'WK-Vorlagen'!$C$82),"",IF(ISERROR(MATCH(VALUE(MID(H622,1,2)),Schwierigkeitsstufen!$G$7:$G$19,0)),"Gerät falsch",LOOKUP(VALUE(MID(H622,1,2)),Schwierigkeitsstufen!$G$7:$G$19,Schwierigkeitsstufen!$H$7:$H$19)))</f>
        <v/>
      </c>
      <c r="AC622" s="250" t="str">
        <f>IF((($A622="")*($B622=""))+((MID($Y622,1,4)&lt;&gt;"Wahl")*(Deckblatt!$C$14='WK-Vorlagen'!$C$82))+(Deckblatt!$C$14&lt;&gt;'WK-Vorlagen'!$C$82),"",IF(ISERROR(MATCH(VALUE(MID(I622,1,2)),Schwierigkeitsstufen!$G$7:$G$19,0)),"Gerät falsch",LOOKUP(VALUE(MID(I622,1,2)),Schwierigkeitsstufen!$G$7:$G$19,Schwierigkeitsstufen!$H$7:$H$19)))</f>
        <v/>
      </c>
      <c r="AD622" s="251" t="str">
        <f>IF((($A622="")*($B622=""))+((MID($Y622,1,4)&lt;&gt;"Wahl")*(Deckblatt!$C$14='WK-Vorlagen'!$C$82))+(Deckblatt!$C$14&lt;&gt;'WK-Vorlagen'!$C$82),"",IF(ISERROR(MATCH(VALUE(MID(J622,1,2)),Schwierigkeitsstufen!$G$7:$G$19,0)),"Gerät falsch",LOOKUP(VALUE(MID(J622,1,2)),Schwierigkeitsstufen!$G$7:$G$19,Schwierigkeitsstufen!$H$7:$H$19)))</f>
        <v/>
      </c>
      <c r="AE622" s="211"/>
      <c r="AG622" s="221" t="str">
        <f t="shared" si="81"/>
        <v/>
      </c>
      <c r="AH622" s="222" t="str">
        <f t="shared" si="83"/>
        <v/>
      </c>
      <c r="AI622" s="220">
        <f t="shared" si="88"/>
        <v>4</v>
      </c>
      <c r="AJ622" s="222">
        <f t="shared" si="84"/>
        <v>0</v>
      </c>
      <c r="AK622" s="299" t="str">
        <f>IF(ISERROR(LOOKUP(E622,WKNrListe,Übersicht!$R$7:$R$46)),"-",LOOKUP(E622,WKNrListe,Übersicht!$R$7:$R$46))</f>
        <v>-</v>
      </c>
      <c r="AL622" s="299" t="str">
        <f t="shared" si="87"/>
        <v>-</v>
      </c>
      <c r="AM622" s="303"/>
      <c r="AN622" s="174" t="str">
        <f t="shared" si="80"/>
        <v>Leer</v>
      </c>
    </row>
    <row r="623" spans="1:40" s="174" customFormat="1" ht="15" customHeight="1">
      <c r="A623" s="63"/>
      <c r="B623" s="63"/>
      <c r="C623" s="84"/>
      <c r="D623" s="85"/>
      <c r="E623" s="62"/>
      <c r="F623" s="62"/>
      <c r="G623" s="62"/>
      <c r="H623" s="62"/>
      <c r="I623" s="62"/>
      <c r="J623" s="62"/>
      <c r="K623" s="62"/>
      <c r="L623" s="62"/>
      <c r="M623" s="62"/>
      <c r="N623" s="62"/>
      <c r="O623" s="62"/>
      <c r="P623" s="62"/>
      <c r="Q623" s="62"/>
      <c r="R623" s="62"/>
      <c r="S623" s="258"/>
      <c r="T623" s="248" t="str">
        <f t="shared" si="85"/>
        <v/>
      </c>
      <c r="U623" s="249" t="str">
        <f t="shared" si="86"/>
        <v/>
      </c>
      <c r="V623" s="294" t="str">
        <f t="shared" si="82"/>
        <v/>
      </c>
      <c r="W623" s="294" t="str">
        <f>IF(((E623="")+(F623="")),"",IF(VLOOKUP(F623,Mannschaften!$A$1:$B$54,2,FALSE)&lt;&gt;E623,"Reiter Mannschaften füllen",""))</f>
        <v/>
      </c>
      <c r="X623" s="248" t="str">
        <f>IF(ISBLANK(C623),"",IF((U623&gt;(LOOKUP(E623,WKNrListe,Übersicht!$O$7:$O$46)))+(U623&lt;(LOOKUP(E623,WKNrListe,Übersicht!$P$7:$P$46))),"JG falsch",""))</f>
        <v/>
      </c>
      <c r="Y623" s="255" t="str">
        <f>IF((A623="")*(B623=""),"",IF(ISERROR(MATCH(E623,WKNrListe,0)),"WK falsch",LOOKUP(E623,WKNrListe,Übersicht!$B$7:$B$46)))</f>
        <v/>
      </c>
      <c r="Z623" s="269" t="str">
        <f>IF(((AJ623=0)*(AH623&lt;&gt;"")*(AK623="-"))+((AJ623&lt;&gt;0)*(AH623&lt;&gt;"")*(AK623="-")),IF(AG623="X",Übersicht!$C$70,Übersicht!$C$69),"-")</f>
        <v>-</v>
      </c>
      <c r="AA623" s="252" t="str">
        <f>IF((($A623="")*($B623=""))+((MID($Y623,1,4)&lt;&gt;"Wahl")*(Deckblatt!$C$14='WK-Vorlagen'!$C$82))+(Deckblatt!$C$14&lt;&gt;'WK-Vorlagen'!$C$82),"",IF(ISERROR(MATCH(VALUE(MID(G623,1,2)),Schwierigkeitsstufen!$G$7:$G$19,0)),"Gerät falsch",LOOKUP(VALUE(MID(G623,1,2)),Schwierigkeitsstufen!$G$7:$G$19,Schwierigkeitsstufen!$H$7:$H$19)))</f>
        <v/>
      </c>
      <c r="AB623" s="250" t="str">
        <f>IF((($A623="")*($B623=""))+((MID($Y623,1,4)&lt;&gt;"Wahl")*(Deckblatt!$C$14='WK-Vorlagen'!$C$82))+(Deckblatt!$C$14&lt;&gt;'WK-Vorlagen'!$C$82),"",IF(ISERROR(MATCH(VALUE(MID(H623,1,2)),Schwierigkeitsstufen!$G$7:$G$19,0)),"Gerät falsch",LOOKUP(VALUE(MID(H623,1,2)),Schwierigkeitsstufen!$G$7:$G$19,Schwierigkeitsstufen!$H$7:$H$19)))</f>
        <v/>
      </c>
      <c r="AC623" s="250" t="str">
        <f>IF((($A623="")*($B623=""))+((MID($Y623,1,4)&lt;&gt;"Wahl")*(Deckblatt!$C$14='WK-Vorlagen'!$C$82))+(Deckblatt!$C$14&lt;&gt;'WK-Vorlagen'!$C$82),"",IF(ISERROR(MATCH(VALUE(MID(I623,1,2)),Schwierigkeitsstufen!$G$7:$G$19,0)),"Gerät falsch",LOOKUP(VALUE(MID(I623,1,2)),Schwierigkeitsstufen!$G$7:$G$19,Schwierigkeitsstufen!$H$7:$H$19)))</f>
        <v/>
      </c>
      <c r="AD623" s="251" t="str">
        <f>IF((($A623="")*($B623=""))+((MID($Y623,1,4)&lt;&gt;"Wahl")*(Deckblatt!$C$14='WK-Vorlagen'!$C$82))+(Deckblatt!$C$14&lt;&gt;'WK-Vorlagen'!$C$82),"",IF(ISERROR(MATCH(VALUE(MID(J623,1,2)),Schwierigkeitsstufen!$G$7:$G$19,0)),"Gerät falsch",LOOKUP(VALUE(MID(J623,1,2)),Schwierigkeitsstufen!$G$7:$G$19,Schwierigkeitsstufen!$H$7:$H$19)))</f>
        <v/>
      </c>
      <c r="AE623" s="211"/>
      <c r="AG623" s="221" t="str">
        <f t="shared" si="81"/>
        <v/>
      </c>
      <c r="AH623" s="222" t="str">
        <f t="shared" si="83"/>
        <v/>
      </c>
      <c r="AI623" s="220">
        <f t="shared" si="88"/>
        <v>4</v>
      </c>
      <c r="AJ623" s="222">
        <f t="shared" si="84"/>
        <v>0</v>
      </c>
      <c r="AK623" s="299" t="str">
        <f>IF(ISERROR(LOOKUP(E623,WKNrListe,Übersicht!$R$7:$R$46)),"-",LOOKUP(E623,WKNrListe,Übersicht!$R$7:$R$46))</f>
        <v>-</v>
      </c>
      <c r="AL623" s="299" t="str">
        <f t="shared" si="87"/>
        <v>-</v>
      </c>
      <c r="AM623" s="303"/>
      <c r="AN623" s="174" t="str">
        <f t="shared" ref="AN623:AN686" si="89">IF(ISBLANK(A623)*ISBLANK(B623)*ISBLANK(C623)*ISBLANK(E623)*ISBLANK(F623)*ISBLANK(G623)*ISBLANK(H623)*ISBLANK(I623)*ISBLANK(J623),"Leer","Voll")</f>
        <v>Leer</v>
      </c>
    </row>
    <row r="624" spans="1:40" s="174" customFormat="1" ht="15" customHeight="1">
      <c r="A624" s="63"/>
      <c r="B624" s="63"/>
      <c r="C624" s="84"/>
      <c r="D624" s="85"/>
      <c r="E624" s="62"/>
      <c r="F624" s="62"/>
      <c r="G624" s="62"/>
      <c r="H624" s="62"/>
      <c r="I624" s="62"/>
      <c r="J624" s="62"/>
      <c r="K624" s="62"/>
      <c r="L624" s="62"/>
      <c r="M624" s="62"/>
      <c r="N624" s="62"/>
      <c r="O624" s="62"/>
      <c r="P624" s="62"/>
      <c r="Q624" s="62"/>
      <c r="R624" s="62"/>
      <c r="S624" s="258"/>
      <c r="T624" s="248" t="str">
        <f t="shared" si="85"/>
        <v/>
      </c>
      <c r="U624" s="249" t="str">
        <f t="shared" si="86"/>
        <v/>
      </c>
      <c r="V624" s="294" t="str">
        <f t="shared" si="82"/>
        <v/>
      </c>
      <c r="W624" s="294" t="str">
        <f>IF(((E624="")+(F624="")),"",IF(VLOOKUP(F624,Mannschaften!$A$1:$B$54,2,FALSE)&lt;&gt;E624,"Reiter Mannschaften füllen",""))</f>
        <v/>
      </c>
      <c r="X624" s="248" t="str">
        <f>IF(ISBLANK(C624),"",IF((U624&gt;(LOOKUP(E624,WKNrListe,Übersicht!$O$7:$O$46)))+(U624&lt;(LOOKUP(E624,WKNrListe,Übersicht!$P$7:$P$46))),"JG falsch",""))</f>
        <v/>
      </c>
      <c r="Y624" s="255" t="str">
        <f>IF((A624="")*(B624=""),"",IF(ISERROR(MATCH(E624,WKNrListe,0)),"WK falsch",LOOKUP(E624,WKNrListe,Übersicht!$B$7:$B$46)))</f>
        <v/>
      </c>
      <c r="Z624" s="269" t="str">
        <f>IF(((AJ624=0)*(AH624&lt;&gt;"")*(AK624="-"))+((AJ624&lt;&gt;0)*(AH624&lt;&gt;"")*(AK624="-")),IF(AG624="X",Übersicht!$C$70,Übersicht!$C$69),"-")</f>
        <v>-</v>
      </c>
      <c r="AA624" s="252" t="str">
        <f>IF((($A624="")*($B624=""))+((MID($Y624,1,4)&lt;&gt;"Wahl")*(Deckblatt!$C$14='WK-Vorlagen'!$C$82))+(Deckblatt!$C$14&lt;&gt;'WK-Vorlagen'!$C$82),"",IF(ISERROR(MATCH(VALUE(MID(G624,1,2)),Schwierigkeitsstufen!$G$7:$G$19,0)),"Gerät falsch",LOOKUP(VALUE(MID(G624,1,2)),Schwierigkeitsstufen!$G$7:$G$19,Schwierigkeitsstufen!$H$7:$H$19)))</f>
        <v/>
      </c>
      <c r="AB624" s="250" t="str">
        <f>IF((($A624="")*($B624=""))+((MID($Y624,1,4)&lt;&gt;"Wahl")*(Deckblatt!$C$14='WK-Vorlagen'!$C$82))+(Deckblatt!$C$14&lt;&gt;'WK-Vorlagen'!$C$82),"",IF(ISERROR(MATCH(VALUE(MID(H624,1,2)),Schwierigkeitsstufen!$G$7:$G$19,0)),"Gerät falsch",LOOKUP(VALUE(MID(H624,1,2)),Schwierigkeitsstufen!$G$7:$G$19,Schwierigkeitsstufen!$H$7:$H$19)))</f>
        <v/>
      </c>
      <c r="AC624" s="250" t="str">
        <f>IF((($A624="")*($B624=""))+((MID($Y624,1,4)&lt;&gt;"Wahl")*(Deckblatt!$C$14='WK-Vorlagen'!$C$82))+(Deckblatt!$C$14&lt;&gt;'WK-Vorlagen'!$C$82),"",IF(ISERROR(MATCH(VALUE(MID(I624,1,2)),Schwierigkeitsstufen!$G$7:$G$19,0)),"Gerät falsch",LOOKUP(VALUE(MID(I624,1,2)),Schwierigkeitsstufen!$G$7:$G$19,Schwierigkeitsstufen!$H$7:$H$19)))</f>
        <v/>
      </c>
      <c r="AD624" s="251" t="str">
        <f>IF((($A624="")*($B624=""))+((MID($Y624,1,4)&lt;&gt;"Wahl")*(Deckblatt!$C$14='WK-Vorlagen'!$C$82))+(Deckblatt!$C$14&lt;&gt;'WK-Vorlagen'!$C$82),"",IF(ISERROR(MATCH(VALUE(MID(J624,1,2)),Schwierigkeitsstufen!$G$7:$G$19,0)),"Gerät falsch",LOOKUP(VALUE(MID(J624,1,2)),Schwierigkeitsstufen!$G$7:$G$19,Schwierigkeitsstufen!$H$7:$H$19)))</f>
        <v/>
      </c>
      <c r="AE624" s="211"/>
      <c r="AG624" s="221" t="str">
        <f t="shared" si="81"/>
        <v/>
      </c>
      <c r="AH624" s="222" t="str">
        <f t="shared" si="83"/>
        <v/>
      </c>
      <c r="AI624" s="220">
        <f t="shared" si="88"/>
        <v>4</v>
      </c>
      <c r="AJ624" s="222">
        <f t="shared" si="84"/>
        <v>0</v>
      </c>
      <c r="AK624" s="299" t="str">
        <f>IF(ISERROR(LOOKUP(E624,WKNrListe,Übersicht!$R$7:$R$46)),"-",LOOKUP(E624,WKNrListe,Übersicht!$R$7:$R$46))</f>
        <v>-</v>
      </c>
      <c r="AL624" s="299" t="str">
        <f t="shared" si="87"/>
        <v>-</v>
      </c>
      <c r="AM624" s="303"/>
      <c r="AN624" s="174" t="str">
        <f t="shared" si="89"/>
        <v>Leer</v>
      </c>
    </row>
    <row r="625" spans="1:40" s="174" customFormat="1" ht="15" customHeight="1">
      <c r="A625" s="63"/>
      <c r="B625" s="63"/>
      <c r="C625" s="84"/>
      <c r="D625" s="85"/>
      <c r="E625" s="62"/>
      <c r="F625" s="62"/>
      <c r="G625" s="62"/>
      <c r="H625" s="62"/>
      <c r="I625" s="62"/>
      <c r="J625" s="62"/>
      <c r="K625" s="62"/>
      <c r="L625" s="62"/>
      <c r="M625" s="62"/>
      <c r="N625" s="62"/>
      <c r="O625" s="62"/>
      <c r="P625" s="62"/>
      <c r="Q625" s="62"/>
      <c r="R625" s="62"/>
      <c r="S625" s="258"/>
      <c r="T625" s="248" t="str">
        <f t="shared" si="85"/>
        <v/>
      </c>
      <c r="U625" s="249" t="str">
        <f t="shared" si="86"/>
        <v/>
      </c>
      <c r="V625" s="294" t="str">
        <f t="shared" si="82"/>
        <v/>
      </c>
      <c r="W625" s="294" t="str">
        <f>IF(((E625="")+(F625="")),"",IF(VLOOKUP(F625,Mannschaften!$A$1:$B$54,2,FALSE)&lt;&gt;E625,"Reiter Mannschaften füllen",""))</f>
        <v/>
      </c>
      <c r="X625" s="248" t="str">
        <f>IF(ISBLANK(C625),"",IF((U625&gt;(LOOKUP(E625,WKNrListe,Übersicht!$O$7:$O$46)))+(U625&lt;(LOOKUP(E625,WKNrListe,Übersicht!$P$7:$P$46))),"JG falsch",""))</f>
        <v/>
      </c>
      <c r="Y625" s="255" t="str">
        <f>IF((A625="")*(B625=""),"",IF(ISERROR(MATCH(E625,WKNrListe,0)),"WK falsch",LOOKUP(E625,WKNrListe,Übersicht!$B$7:$B$46)))</f>
        <v/>
      </c>
      <c r="Z625" s="269" t="str">
        <f>IF(((AJ625=0)*(AH625&lt;&gt;"")*(AK625="-"))+((AJ625&lt;&gt;0)*(AH625&lt;&gt;"")*(AK625="-")),IF(AG625="X",Übersicht!$C$70,Übersicht!$C$69),"-")</f>
        <v>-</v>
      </c>
      <c r="AA625" s="252" t="str">
        <f>IF((($A625="")*($B625=""))+((MID($Y625,1,4)&lt;&gt;"Wahl")*(Deckblatt!$C$14='WK-Vorlagen'!$C$82))+(Deckblatt!$C$14&lt;&gt;'WK-Vorlagen'!$C$82),"",IF(ISERROR(MATCH(VALUE(MID(G625,1,2)),Schwierigkeitsstufen!$G$7:$G$19,0)),"Gerät falsch",LOOKUP(VALUE(MID(G625,1,2)),Schwierigkeitsstufen!$G$7:$G$19,Schwierigkeitsstufen!$H$7:$H$19)))</f>
        <v/>
      </c>
      <c r="AB625" s="250" t="str">
        <f>IF((($A625="")*($B625=""))+((MID($Y625,1,4)&lt;&gt;"Wahl")*(Deckblatt!$C$14='WK-Vorlagen'!$C$82))+(Deckblatt!$C$14&lt;&gt;'WK-Vorlagen'!$C$82),"",IF(ISERROR(MATCH(VALUE(MID(H625,1,2)),Schwierigkeitsstufen!$G$7:$G$19,0)),"Gerät falsch",LOOKUP(VALUE(MID(H625,1,2)),Schwierigkeitsstufen!$G$7:$G$19,Schwierigkeitsstufen!$H$7:$H$19)))</f>
        <v/>
      </c>
      <c r="AC625" s="250" t="str">
        <f>IF((($A625="")*($B625=""))+((MID($Y625,1,4)&lt;&gt;"Wahl")*(Deckblatt!$C$14='WK-Vorlagen'!$C$82))+(Deckblatt!$C$14&lt;&gt;'WK-Vorlagen'!$C$82),"",IF(ISERROR(MATCH(VALUE(MID(I625,1,2)),Schwierigkeitsstufen!$G$7:$G$19,0)),"Gerät falsch",LOOKUP(VALUE(MID(I625,1,2)),Schwierigkeitsstufen!$G$7:$G$19,Schwierigkeitsstufen!$H$7:$H$19)))</f>
        <v/>
      </c>
      <c r="AD625" s="251" t="str">
        <f>IF((($A625="")*($B625=""))+((MID($Y625,1,4)&lt;&gt;"Wahl")*(Deckblatt!$C$14='WK-Vorlagen'!$C$82))+(Deckblatt!$C$14&lt;&gt;'WK-Vorlagen'!$C$82),"",IF(ISERROR(MATCH(VALUE(MID(J625,1,2)),Schwierigkeitsstufen!$G$7:$G$19,0)),"Gerät falsch",LOOKUP(VALUE(MID(J625,1,2)),Schwierigkeitsstufen!$G$7:$G$19,Schwierigkeitsstufen!$H$7:$H$19)))</f>
        <v/>
      </c>
      <c r="AE625" s="211"/>
      <c r="AG625" s="221" t="str">
        <f t="shared" si="81"/>
        <v/>
      </c>
      <c r="AH625" s="222" t="str">
        <f t="shared" si="83"/>
        <v/>
      </c>
      <c r="AI625" s="220">
        <f t="shared" si="88"/>
        <v>4</v>
      </c>
      <c r="AJ625" s="222">
        <f t="shared" si="84"/>
        <v>0</v>
      </c>
      <c r="AK625" s="299" t="str">
        <f>IF(ISERROR(LOOKUP(E625,WKNrListe,Übersicht!$R$7:$R$46)),"-",LOOKUP(E625,WKNrListe,Übersicht!$R$7:$R$46))</f>
        <v>-</v>
      </c>
      <c r="AL625" s="299" t="str">
        <f t="shared" si="87"/>
        <v>-</v>
      </c>
      <c r="AM625" s="303"/>
      <c r="AN625" s="174" t="str">
        <f t="shared" si="89"/>
        <v>Leer</v>
      </c>
    </row>
    <row r="626" spans="1:40" s="174" customFormat="1" ht="15" customHeight="1">
      <c r="A626" s="63"/>
      <c r="B626" s="63"/>
      <c r="C626" s="84"/>
      <c r="D626" s="85"/>
      <c r="E626" s="62"/>
      <c r="F626" s="62"/>
      <c r="G626" s="62"/>
      <c r="H626" s="62"/>
      <c r="I626" s="62"/>
      <c r="J626" s="62"/>
      <c r="K626" s="62"/>
      <c r="L626" s="62"/>
      <c r="M626" s="62"/>
      <c r="N626" s="62"/>
      <c r="O626" s="62"/>
      <c r="P626" s="62"/>
      <c r="Q626" s="62"/>
      <c r="R626" s="62"/>
      <c r="S626" s="258"/>
      <c r="T626" s="248" t="str">
        <f t="shared" si="85"/>
        <v/>
      </c>
      <c r="U626" s="249" t="str">
        <f t="shared" si="86"/>
        <v/>
      </c>
      <c r="V626" s="294" t="str">
        <f t="shared" si="82"/>
        <v/>
      </c>
      <c r="W626" s="294" t="str">
        <f>IF(((E626="")+(F626="")),"",IF(VLOOKUP(F626,Mannschaften!$A$1:$B$54,2,FALSE)&lt;&gt;E626,"Reiter Mannschaften füllen",""))</f>
        <v/>
      </c>
      <c r="X626" s="248" t="str">
        <f>IF(ISBLANK(C626),"",IF((U626&gt;(LOOKUP(E626,WKNrListe,Übersicht!$O$7:$O$46)))+(U626&lt;(LOOKUP(E626,WKNrListe,Übersicht!$P$7:$P$46))),"JG falsch",""))</f>
        <v/>
      </c>
      <c r="Y626" s="255" t="str">
        <f>IF((A626="")*(B626=""),"",IF(ISERROR(MATCH(E626,WKNrListe,0)),"WK falsch",LOOKUP(E626,WKNrListe,Übersicht!$B$7:$B$46)))</f>
        <v/>
      </c>
      <c r="Z626" s="269" t="str">
        <f>IF(((AJ626=0)*(AH626&lt;&gt;"")*(AK626="-"))+((AJ626&lt;&gt;0)*(AH626&lt;&gt;"")*(AK626="-")),IF(AG626="X",Übersicht!$C$70,Übersicht!$C$69),"-")</f>
        <v>-</v>
      </c>
      <c r="AA626" s="252" t="str">
        <f>IF((($A626="")*($B626=""))+((MID($Y626,1,4)&lt;&gt;"Wahl")*(Deckblatt!$C$14='WK-Vorlagen'!$C$82))+(Deckblatt!$C$14&lt;&gt;'WK-Vorlagen'!$C$82),"",IF(ISERROR(MATCH(VALUE(MID(G626,1,2)),Schwierigkeitsstufen!$G$7:$G$19,0)),"Gerät falsch",LOOKUP(VALUE(MID(G626,1,2)),Schwierigkeitsstufen!$G$7:$G$19,Schwierigkeitsstufen!$H$7:$H$19)))</f>
        <v/>
      </c>
      <c r="AB626" s="250" t="str">
        <f>IF((($A626="")*($B626=""))+((MID($Y626,1,4)&lt;&gt;"Wahl")*(Deckblatt!$C$14='WK-Vorlagen'!$C$82))+(Deckblatt!$C$14&lt;&gt;'WK-Vorlagen'!$C$82),"",IF(ISERROR(MATCH(VALUE(MID(H626,1,2)),Schwierigkeitsstufen!$G$7:$G$19,0)),"Gerät falsch",LOOKUP(VALUE(MID(H626,1,2)),Schwierigkeitsstufen!$G$7:$G$19,Schwierigkeitsstufen!$H$7:$H$19)))</f>
        <v/>
      </c>
      <c r="AC626" s="250" t="str">
        <f>IF((($A626="")*($B626=""))+((MID($Y626,1,4)&lt;&gt;"Wahl")*(Deckblatt!$C$14='WK-Vorlagen'!$C$82))+(Deckblatt!$C$14&lt;&gt;'WK-Vorlagen'!$C$82),"",IF(ISERROR(MATCH(VALUE(MID(I626,1,2)),Schwierigkeitsstufen!$G$7:$G$19,0)),"Gerät falsch",LOOKUP(VALUE(MID(I626,1,2)),Schwierigkeitsstufen!$G$7:$G$19,Schwierigkeitsstufen!$H$7:$H$19)))</f>
        <v/>
      </c>
      <c r="AD626" s="251" t="str">
        <f>IF((($A626="")*($B626=""))+((MID($Y626,1,4)&lt;&gt;"Wahl")*(Deckblatt!$C$14='WK-Vorlagen'!$C$82))+(Deckblatt!$C$14&lt;&gt;'WK-Vorlagen'!$C$82),"",IF(ISERROR(MATCH(VALUE(MID(J626,1,2)),Schwierigkeitsstufen!$G$7:$G$19,0)),"Gerät falsch",LOOKUP(VALUE(MID(J626,1,2)),Schwierigkeitsstufen!$G$7:$G$19,Schwierigkeitsstufen!$H$7:$H$19)))</f>
        <v/>
      </c>
      <c r="AE626" s="211"/>
      <c r="AG626" s="221" t="str">
        <f t="shared" si="81"/>
        <v/>
      </c>
      <c r="AH626" s="222" t="str">
        <f t="shared" si="83"/>
        <v/>
      </c>
      <c r="AI626" s="220">
        <f t="shared" si="88"/>
        <v>4</v>
      </c>
      <c r="AJ626" s="222">
        <f t="shared" si="84"/>
        <v>0</v>
      </c>
      <c r="AK626" s="299" t="str">
        <f>IF(ISERROR(LOOKUP(E626,WKNrListe,Übersicht!$R$7:$R$46)),"-",LOOKUP(E626,WKNrListe,Übersicht!$R$7:$R$46))</f>
        <v>-</v>
      </c>
      <c r="AL626" s="299" t="str">
        <f t="shared" si="87"/>
        <v>-</v>
      </c>
      <c r="AM626" s="303"/>
      <c r="AN626" s="174" t="str">
        <f t="shared" si="89"/>
        <v>Leer</v>
      </c>
    </row>
    <row r="627" spans="1:40" s="174" customFormat="1" ht="15" customHeight="1">
      <c r="A627" s="63"/>
      <c r="B627" s="63"/>
      <c r="C627" s="84"/>
      <c r="D627" s="85"/>
      <c r="E627" s="62"/>
      <c r="F627" s="62"/>
      <c r="G627" s="62"/>
      <c r="H627" s="62"/>
      <c r="I627" s="62"/>
      <c r="J627" s="62"/>
      <c r="K627" s="62"/>
      <c r="L627" s="62"/>
      <c r="M627" s="62"/>
      <c r="N627" s="62"/>
      <c r="O627" s="62"/>
      <c r="P627" s="62"/>
      <c r="Q627" s="62"/>
      <c r="R627" s="62"/>
      <c r="S627" s="258"/>
      <c r="T627" s="248" t="str">
        <f t="shared" si="85"/>
        <v/>
      </c>
      <c r="U627" s="249" t="str">
        <f t="shared" si="86"/>
        <v/>
      </c>
      <c r="V627" s="294" t="str">
        <f t="shared" si="82"/>
        <v/>
      </c>
      <c r="W627" s="294" t="str">
        <f>IF(((E627="")+(F627="")),"",IF(VLOOKUP(F627,Mannschaften!$A$1:$B$54,2,FALSE)&lt;&gt;E627,"Reiter Mannschaften füllen",""))</f>
        <v/>
      </c>
      <c r="X627" s="248" t="str">
        <f>IF(ISBLANK(C627),"",IF((U627&gt;(LOOKUP(E627,WKNrListe,Übersicht!$O$7:$O$46)))+(U627&lt;(LOOKUP(E627,WKNrListe,Übersicht!$P$7:$P$46))),"JG falsch",""))</f>
        <v/>
      </c>
      <c r="Y627" s="255" t="str">
        <f>IF((A627="")*(B627=""),"",IF(ISERROR(MATCH(E627,WKNrListe,0)),"WK falsch",LOOKUP(E627,WKNrListe,Übersicht!$B$7:$B$46)))</f>
        <v/>
      </c>
      <c r="Z627" s="269" t="str">
        <f>IF(((AJ627=0)*(AH627&lt;&gt;"")*(AK627="-"))+((AJ627&lt;&gt;0)*(AH627&lt;&gt;"")*(AK627="-")),IF(AG627="X",Übersicht!$C$70,Übersicht!$C$69),"-")</f>
        <v>-</v>
      </c>
      <c r="AA627" s="252" t="str">
        <f>IF((($A627="")*($B627=""))+((MID($Y627,1,4)&lt;&gt;"Wahl")*(Deckblatt!$C$14='WK-Vorlagen'!$C$82))+(Deckblatt!$C$14&lt;&gt;'WK-Vorlagen'!$C$82),"",IF(ISERROR(MATCH(VALUE(MID(G627,1,2)),Schwierigkeitsstufen!$G$7:$G$19,0)),"Gerät falsch",LOOKUP(VALUE(MID(G627,1,2)),Schwierigkeitsstufen!$G$7:$G$19,Schwierigkeitsstufen!$H$7:$H$19)))</f>
        <v/>
      </c>
      <c r="AB627" s="250" t="str">
        <f>IF((($A627="")*($B627=""))+((MID($Y627,1,4)&lt;&gt;"Wahl")*(Deckblatt!$C$14='WK-Vorlagen'!$C$82))+(Deckblatt!$C$14&lt;&gt;'WK-Vorlagen'!$C$82),"",IF(ISERROR(MATCH(VALUE(MID(H627,1,2)),Schwierigkeitsstufen!$G$7:$G$19,0)),"Gerät falsch",LOOKUP(VALUE(MID(H627,1,2)),Schwierigkeitsstufen!$G$7:$G$19,Schwierigkeitsstufen!$H$7:$H$19)))</f>
        <v/>
      </c>
      <c r="AC627" s="250" t="str">
        <f>IF((($A627="")*($B627=""))+((MID($Y627,1,4)&lt;&gt;"Wahl")*(Deckblatt!$C$14='WK-Vorlagen'!$C$82))+(Deckblatt!$C$14&lt;&gt;'WK-Vorlagen'!$C$82),"",IF(ISERROR(MATCH(VALUE(MID(I627,1,2)),Schwierigkeitsstufen!$G$7:$G$19,0)),"Gerät falsch",LOOKUP(VALUE(MID(I627,1,2)),Schwierigkeitsstufen!$G$7:$G$19,Schwierigkeitsstufen!$H$7:$H$19)))</f>
        <v/>
      </c>
      <c r="AD627" s="251" t="str">
        <f>IF((($A627="")*($B627=""))+((MID($Y627,1,4)&lt;&gt;"Wahl")*(Deckblatt!$C$14='WK-Vorlagen'!$C$82))+(Deckblatt!$C$14&lt;&gt;'WK-Vorlagen'!$C$82),"",IF(ISERROR(MATCH(VALUE(MID(J627,1,2)),Schwierigkeitsstufen!$G$7:$G$19,0)),"Gerät falsch",LOOKUP(VALUE(MID(J627,1,2)),Schwierigkeitsstufen!$G$7:$G$19,Schwierigkeitsstufen!$H$7:$H$19)))</f>
        <v/>
      </c>
      <c r="AE627" s="211"/>
      <c r="AG627" s="221" t="str">
        <f t="shared" si="81"/>
        <v/>
      </c>
      <c r="AH627" s="222" t="str">
        <f t="shared" si="83"/>
        <v/>
      </c>
      <c r="AI627" s="220">
        <f t="shared" si="88"/>
        <v>4</v>
      </c>
      <c r="AJ627" s="222">
        <f t="shared" si="84"/>
        <v>0</v>
      </c>
      <c r="AK627" s="299" t="str">
        <f>IF(ISERROR(LOOKUP(E627,WKNrListe,Übersicht!$R$7:$R$46)),"-",LOOKUP(E627,WKNrListe,Übersicht!$R$7:$R$46))</f>
        <v>-</v>
      </c>
      <c r="AL627" s="299" t="str">
        <f t="shared" si="87"/>
        <v>-</v>
      </c>
      <c r="AM627" s="303"/>
      <c r="AN627" s="174" t="str">
        <f t="shared" si="89"/>
        <v>Leer</v>
      </c>
    </row>
    <row r="628" spans="1:40" s="174" customFormat="1" ht="15" customHeight="1">
      <c r="A628" s="63"/>
      <c r="B628" s="63"/>
      <c r="C628" s="84"/>
      <c r="D628" s="85"/>
      <c r="E628" s="62"/>
      <c r="F628" s="62"/>
      <c r="G628" s="62"/>
      <c r="H628" s="62"/>
      <c r="I628" s="62"/>
      <c r="J628" s="62"/>
      <c r="K628" s="62"/>
      <c r="L628" s="62"/>
      <c r="M628" s="62"/>
      <c r="N628" s="62"/>
      <c r="O628" s="62"/>
      <c r="P628" s="62"/>
      <c r="Q628" s="62"/>
      <c r="R628" s="62"/>
      <c r="S628" s="258"/>
      <c r="T628" s="248" t="str">
        <f t="shared" si="85"/>
        <v/>
      </c>
      <c r="U628" s="249" t="str">
        <f t="shared" si="86"/>
        <v/>
      </c>
      <c r="V628" s="294" t="str">
        <f t="shared" si="82"/>
        <v/>
      </c>
      <c r="W628" s="294" t="str">
        <f>IF(((E628="")+(F628="")),"",IF(VLOOKUP(F628,Mannschaften!$A$1:$B$54,2,FALSE)&lt;&gt;E628,"Reiter Mannschaften füllen",""))</f>
        <v/>
      </c>
      <c r="X628" s="248" t="str">
        <f>IF(ISBLANK(C628),"",IF((U628&gt;(LOOKUP(E628,WKNrListe,Übersicht!$O$7:$O$46)))+(U628&lt;(LOOKUP(E628,WKNrListe,Übersicht!$P$7:$P$46))),"JG falsch",""))</f>
        <v/>
      </c>
      <c r="Y628" s="255" t="str">
        <f>IF((A628="")*(B628=""),"",IF(ISERROR(MATCH(E628,WKNrListe,0)),"WK falsch",LOOKUP(E628,WKNrListe,Übersicht!$B$7:$B$46)))</f>
        <v/>
      </c>
      <c r="Z628" s="269" t="str">
        <f>IF(((AJ628=0)*(AH628&lt;&gt;"")*(AK628="-"))+((AJ628&lt;&gt;0)*(AH628&lt;&gt;"")*(AK628="-")),IF(AG628="X",Übersicht!$C$70,Übersicht!$C$69),"-")</f>
        <v>-</v>
      </c>
      <c r="AA628" s="252" t="str">
        <f>IF((($A628="")*($B628=""))+((MID($Y628,1,4)&lt;&gt;"Wahl")*(Deckblatt!$C$14='WK-Vorlagen'!$C$82))+(Deckblatt!$C$14&lt;&gt;'WK-Vorlagen'!$C$82),"",IF(ISERROR(MATCH(VALUE(MID(G628,1,2)),Schwierigkeitsstufen!$G$7:$G$19,0)),"Gerät falsch",LOOKUP(VALUE(MID(G628,1,2)),Schwierigkeitsstufen!$G$7:$G$19,Schwierigkeitsstufen!$H$7:$H$19)))</f>
        <v/>
      </c>
      <c r="AB628" s="250" t="str">
        <f>IF((($A628="")*($B628=""))+((MID($Y628,1,4)&lt;&gt;"Wahl")*(Deckblatt!$C$14='WK-Vorlagen'!$C$82))+(Deckblatt!$C$14&lt;&gt;'WK-Vorlagen'!$C$82),"",IF(ISERROR(MATCH(VALUE(MID(H628,1,2)),Schwierigkeitsstufen!$G$7:$G$19,0)),"Gerät falsch",LOOKUP(VALUE(MID(H628,1,2)),Schwierigkeitsstufen!$G$7:$G$19,Schwierigkeitsstufen!$H$7:$H$19)))</f>
        <v/>
      </c>
      <c r="AC628" s="250" t="str">
        <f>IF((($A628="")*($B628=""))+((MID($Y628,1,4)&lt;&gt;"Wahl")*(Deckblatt!$C$14='WK-Vorlagen'!$C$82))+(Deckblatt!$C$14&lt;&gt;'WK-Vorlagen'!$C$82),"",IF(ISERROR(MATCH(VALUE(MID(I628,1,2)),Schwierigkeitsstufen!$G$7:$G$19,0)),"Gerät falsch",LOOKUP(VALUE(MID(I628,1,2)),Schwierigkeitsstufen!$G$7:$G$19,Schwierigkeitsstufen!$H$7:$H$19)))</f>
        <v/>
      </c>
      <c r="AD628" s="251" t="str">
        <f>IF((($A628="")*($B628=""))+((MID($Y628,1,4)&lt;&gt;"Wahl")*(Deckblatt!$C$14='WK-Vorlagen'!$C$82))+(Deckblatt!$C$14&lt;&gt;'WK-Vorlagen'!$C$82),"",IF(ISERROR(MATCH(VALUE(MID(J628,1,2)),Schwierigkeitsstufen!$G$7:$G$19,0)),"Gerät falsch",LOOKUP(VALUE(MID(J628,1,2)),Schwierigkeitsstufen!$G$7:$G$19,Schwierigkeitsstufen!$H$7:$H$19)))</f>
        <v/>
      </c>
      <c r="AE628" s="211"/>
      <c r="AG628" s="221" t="str">
        <f t="shared" si="81"/>
        <v/>
      </c>
      <c r="AH628" s="222" t="str">
        <f t="shared" si="83"/>
        <v/>
      </c>
      <c r="AI628" s="220">
        <f t="shared" si="88"/>
        <v>4</v>
      </c>
      <c r="AJ628" s="222">
        <f t="shared" si="84"/>
        <v>0</v>
      </c>
      <c r="AK628" s="299" t="str">
        <f>IF(ISERROR(LOOKUP(E628,WKNrListe,Übersicht!$R$7:$R$46)),"-",LOOKUP(E628,WKNrListe,Übersicht!$R$7:$R$46))</f>
        <v>-</v>
      </c>
      <c r="AL628" s="299" t="str">
        <f t="shared" si="87"/>
        <v>-</v>
      </c>
      <c r="AM628" s="303"/>
      <c r="AN628" s="174" t="str">
        <f t="shared" si="89"/>
        <v>Leer</v>
      </c>
    </row>
    <row r="629" spans="1:40" s="174" customFormat="1" ht="15" customHeight="1">
      <c r="A629" s="63"/>
      <c r="B629" s="63"/>
      <c r="C629" s="84"/>
      <c r="D629" s="85"/>
      <c r="E629" s="62"/>
      <c r="F629" s="62"/>
      <c r="G629" s="62"/>
      <c r="H629" s="62"/>
      <c r="I629" s="62"/>
      <c r="J629" s="62"/>
      <c r="K629" s="62"/>
      <c r="L629" s="62"/>
      <c r="M629" s="62"/>
      <c r="N629" s="62"/>
      <c r="O629" s="62"/>
      <c r="P629" s="62"/>
      <c r="Q629" s="62"/>
      <c r="R629" s="62"/>
      <c r="S629" s="258"/>
      <c r="T629" s="248" t="str">
        <f t="shared" si="85"/>
        <v/>
      </c>
      <c r="U629" s="249" t="str">
        <f t="shared" si="86"/>
        <v/>
      </c>
      <c r="V629" s="294" t="str">
        <f t="shared" si="82"/>
        <v/>
      </c>
      <c r="W629" s="294" t="str">
        <f>IF(((E629="")+(F629="")),"",IF(VLOOKUP(F629,Mannschaften!$A$1:$B$54,2,FALSE)&lt;&gt;E629,"Reiter Mannschaften füllen",""))</f>
        <v/>
      </c>
      <c r="X629" s="248" t="str">
        <f>IF(ISBLANK(C629),"",IF((U629&gt;(LOOKUP(E629,WKNrListe,Übersicht!$O$7:$O$46)))+(U629&lt;(LOOKUP(E629,WKNrListe,Übersicht!$P$7:$P$46))),"JG falsch",""))</f>
        <v/>
      </c>
      <c r="Y629" s="255" t="str">
        <f>IF((A629="")*(B629=""),"",IF(ISERROR(MATCH(E629,WKNrListe,0)),"WK falsch",LOOKUP(E629,WKNrListe,Übersicht!$B$7:$B$46)))</f>
        <v/>
      </c>
      <c r="Z629" s="269" t="str">
        <f>IF(((AJ629=0)*(AH629&lt;&gt;"")*(AK629="-"))+((AJ629&lt;&gt;0)*(AH629&lt;&gt;"")*(AK629="-")),IF(AG629="X",Übersicht!$C$70,Übersicht!$C$69),"-")</f>
        <v>-</v>
      </c>
      <c r="AA629" s="252" t="str">
        <f>IF((($A629="")*($B629=""))+((MID($Y629,1,4)&lt;&gt;"Wahl")*(Deckblatt!$C$14='WK-Vorlagen'!$C$82))+(Deckblatt!$C$14&lt;&gt;'WK-Vorlagen'!$C$82),"",IF(ISERROR(MATCH(VALUE(MID(G629,1,2)),Schwierigkeitsstufen!$G$7:$G$19,0)),"Gerät falsch",LOOKUP(VALUE(MID(G629,1,2)),Schwierigkeitsstufen!$G$7:$G$19,Schwierigkeitsstufen!$H$7:$H$19)))</f>
        <v/>
      </c>
      <c r="AB629" s="250" t="str">
        <f>IF((($A629="")*($B629=""))+((MID($Y629,1,4)&lt;&gt;"Wahl")*(Deckblatt!$C$14='WK-Vorlagen'!$C$82))+(Deckblatt!$C$14&lt;&gt;'WK-Vorlagen'!$C$82),"",IF(ISERROR(MATCH(VALUE(MID(H629,1,2)),Schwierigkeitsstufen!$G$7:$G$19,0)),"Gerät falsch",LOOKUP(VALUE(MID(H629,1,2)),Schwierigkeitsstufen!$G$7:$G$19,Schwierigkeitsstufen!$H$7:$H$19)))</f>
        <v/>
      </c>
      <c r="AC629" s="250" t="str">
        <f>IF((($A629="")*($B629=""))+((MID($Y629,1,4)&lt;&gt;"Wahl")*(Deckblatt!$C$14='WK-Vorlagen'!$C$82))+(Deckblatt!$C$14&lt;&gt;'WK-Vorlagen'!$C$82),"",IF(ISERROR(MATCH(VALUE(MID(I629,1,2)),Schwierigkeitsstufen!$G$7:$G$19,0)),"Gerät falsch",LOOKUP(VALUE(MID(I629,1,2)),Schwierigkeitsstufen!$G$7:$G$19,Schwierigkeitsstufen!$H$7:$H$19)))</f>
        <v/>
      </c>
      <c r="AD629" s="251" t="str">
        <f>IF((($A629="")*($B629=""))+((MID($Y629,1,4)&lt;&gt;"Wahl")*(Deckblatt!$C$14='WK-Vorlagen'!$C$82))+(Deckblatt!$C$14&lt;&gt;'WK-Vorlagen'!$C$82),"",IF(ISERROR(MATCH(VALUE(MID(J629,1,2)),Schwierigkeitsstufen!$G$7:$G$19,0)),"Gerät falsch",LOOKUP(VALUE(MID(J629,1,2)),Schwierigkeitsstufen!$G$7:$G$19,Schwierigkeitsstufen!$H$7:$H$19)))</f>
        <v/>
      </c>
      <c r="AE629" s="211"/>
      <c r="AG629" s="221" t="str">
        <f t="shared" si="81"/>
        <v/>
      </c>
      <c r="AH629" s="222" t="str">
        <f t="shared" si="83"/>
        <v/>
      </c>
      <c r="AI629" s="220">
        <f t="shared" si="88"/>
        <v>4</v>
      </c>
      <c r="AJ629" s="222">
        <f t="shared" si="84"/>
        <v>0</v>
      </c>
      <c r="AK629" s="299" t="str">
        <f>IF(ISERROR(LOOKUP(E629,WKNrListe,Übersicht!$R$7:$R$46)),"-",LOOKUP(E629,WKNrListe,Übersicht!$R$7:$R$46))</f>
        <v>-</v>
      </c>
      <c r="AL629" s="299" t="str">
        <f t="shared" si="87"/>
        <v>-</v>
      </c>
      <c r="AM629" s="303"/>
      <c r="AN629" s="174" t="str">
        <f t="shared" si="89"/>
        <v>Leer</v>
      </c>
    </row>
    <row r="630" spans="1:40" s="174" customFormat="1" ht="15" customHeight="1">
      <c r="A630" s="63"/>
      <c r="B630" s="63"/>
      <c r="C630" s="84"/>
      <c r="D630" s="85"/>
      <c r="E630" s="62"/>
      <c r="F630" s="62"/>
      <c r="G630" s="62"/>
      <c r="H630" s="62"/>
      <c r="I630" s="62"/>
      <c r="J630" s="62"/>
      <c r="K630" s="62"/>
      <c r="L630" s="62"/>
      <c r="M630" s="62"/>
      <c r="N630" s="62"/>
      <c r="O630" s="62"/>
      <c r="P630" s="62"/>
      <c r="Q630" s="62"/>
      <c r="R630" s="62"/>
      <c r="S630" s="258"/>
      <c r="T630" s="248" t="str">
        <f t="shared" si="85"/>
        <v/>
      </c>
      <c r="U630" s="249" t="str">
        <f t="shared" si="86"/>
        <v/>
      </c>
      <c r="V630" s="294" t="str">
        <f t="shared" si="82"/>
        <v/>
      </c>
      <c r="W630" s="294" t="str">
        <f>IF(((E630="")+(F630="")),"",IF(VLOOKUP(F630,Mannschaften!$A$1:$B$54,2,FALSE)&lt;&gt;E630,"Reiter Mannschaften füllen",""))</f>
        <v/>
      </c>
      <c r="X630" s="248" t="str">
        <f>IF(ISBLANK(C630),"",IF((U630&gt;(LOOKUP(E630,WKNrListe,Übersicht!$O$7:$O$46)))+(U630&lt;(LOOKUP(E630,WKNrListe,Übersicht!$P$7:$P$46))),"JG falsch",""))</f>
        <v/>
      </c>
      <c r="Y630" s="255" t="str">
        <f>IF((A630="")*(B630=""),"",IF(ISERROR(MATCH(E630,WKNrListe,0)),"WK falsch",LOOKUP(E630,WKNrListe,Übersicht!$B$7:$B$46)))</f>
        <v/>
      </c>
      <c r="Z630" s="269" t="str">
        <f>IF(((AJ630=0)*(AH630&lt;&gt;"")*(AK630="-"))+((AJ630&lt;&gt;0)*(AH630&lt;&gt;"")*(AK630="-")),IF(AG630="X",Übersicht!$C$70,Übersicht!$C$69),"-")</f>
        <v>-</v>
      </c>
      <c r="AA630" s="252" t="str">
        <f>IF((($A630="")*($B630=""))+((MID($Y630,1,4)&lt;&gt;"Wahl")*(Deckblatt!$C$14='WK-Vorlagen'!$C$82))+(Deckblatt!$C$14&lt;&gt;'WK-Vorlagen'!$C$82),"",IF(ISERROR(MATCH(VALUE(MID(G630,1,2)),Schwierigkeitsstufen!$G$7:$G$19,0)),"Gerät falsch",LOOKUP(VALUE(MID(G630,1,2)),Schwierigkeitsstufen!$G$7:$G$19,Schwierigkeitsstufen!$H$7:$H$19)))</f>
        <v/>
      </c>
      <c r="AB630" s="250" t="str">
        <f>IF((($A630="")*($B630=""))+((MID($Y630,1,4)&lt;&gt;"Wahl")*(Deckblatt!$C$14='WK-Vorlagen'!$C$82))+(Deckblatt!$C$14&lt;&gt;'WK-Vorlagen'!$C$82),"",IF(ISERROR(MATCH(VALUE(MID(H630,1,2)),Schwierigkeitsstufen!$G$7:$G$19,0)),"Gerät falsch",LOOKUP(VALUE(MID(H630,1,2)),Schwierigkeitsstufen!$G$7:$G$19,Schwierigkeitsstufen!$H$7:$H$19)))</f>
        <v/>
      </c>
      <c r="AC630" s="250" t="str">
        <f>IF((($A630="")*($B630=""))+((MID($Y630,1,4)&lt;&gt;"Wahl")*(Deckblatt!$C$14='WK-Vorlagen'!$C$82))+(Deckblatt!$C$14&lt;&gt;'WK-Vorlagen'!$C$82),"",IF(ISERROR(MATCH(VALUE(MID(I630,1,2)),Schwierigkeitsstufen!$G$7:$G$19,0)),"Gerät falsch",LOOKUP(VALUE(MID(I630,1,2)),Schwierigkeitsstufen!$G$7:$G$19,Schwierigkeitsstufen!$H$7:$H$19)))</f>
        <v/>
      </c>
      <c r="AD630" s="251" t="str">
        <f>IF((($A630="")*($B630=""))+((MID($Y630,1,4)&lt;&gt;"Wahl")*(Deckblatt!$C$14='WK-Vorlagen'!$C$82))+(Deckblatt!$C$14&lt;&gt;'WK-Vorlagen'!$C$82),"",IF(ISERROR(MATCH(VALUE(MID(J630,1,2)),Schwierigkeitsstufen!$G$7:$G$19,0)),"Gerät falsch",LOOKUP(VALUE(MID(J630,1,2)),Schwierigkeitsstufen!$G$7:$G$19,Schwierigkeitsstufen!$H$7:$H$19)))</f>
        <v/>
      </c>
      <c r="AE630" s="211"/>
      <c r="AG630" s="221" t="str">
        <f t="shared" si="81"/>
        <v/>
      </c>
      <c r="AH630" s="222" t="str">
        <f t="shared" si="83"/>
        <v/>
      </c>
      <c r="AI630" s="220">
        <f t="shared" si="88"/>
        <v>4</v>
      </c>
      <c r="AJ630" s="222">
        <f t="shared" si="84"/>
        <v>0</v>
      </c>
      <c r="AK630" s="299" t="str">
        <f>IF(ISERROR(LOOKUP(E630,WKNrListe,Übersicht!$R$7:$R$46)),"-",LOOKUP(E630,WKNrListe,Übersicht!$R$7:$R$46))</f>
        <v>-</v>
      </c>
      <c r="AL630" s="299" t="str">
        <f t="shared" si="87"/>
        <v>-</v>
      </c>
      <c r="AM630" s="303"/>
      <c r="AN630" s="174" t="str">
        <f t="shared" si="89"/>
        <v>Leer</v>
      </c>
    </row>
    <row r="631" spans="1:40" s="174" customFormat="1" ht="15" customHeight="1">
      <c r="A631" s="63"/>
      <c r="B631" s="63"/>
      <c r="C631" s="84"/>
      <c r="D631" s="85"/>
      <c r="E631" s="62"/>
      <c r="F631" s="62"/>
      <c r="G631" s="62"/>
      <c r="H631" s="62"/>
      <c r="I631" s="62"/>
      <c r="J631" s="62"/>
      <c r="K631" s="62"/>
      <c r="L631" s="62"/>
      <c r="M631" s="62"/>
      <c r="N631" s="62"/>
      <c r="O631" s="62"/>
      <c r="P631" s="62"/>
      <c r="Q631" s="62"/>
      <c r="R631" s="62"/>
      <c r="S631" s="258"/>
      <c r="T631" s="248" t="str">
        <f t="shared" si="85"/>
        <v/>
      </c>
      <c r="U631" s="249" t="str">
        <f t="shared" si="86"/>
        <v/>
      </c>
      <c r="V631" s="294" t="str">
        <f t="shared" si="82"/>
        <v/>
      </c>
      <c r="W631" s="294" t="str">
        <f>IF(((E631="")+(F631="")),"",IF(VLOOKUP(F631,Mannschaften!$A$1:$B$54,2,FALSE)&lt;&gt;E631,"Reiter Mannschaften füllen",""))</f>
        <v/>
      </c>
      <c r="X631" s="248" t="str">
        <f>IF(ISBLANK(C631),"",IF((U631&gt;(LOOKUP(E631,WKNrListe,Übersicht!$O$7:$O$46)))+(U631&lt;(LOOKUP(E631,WKNrListe,Übersicht!$P$7:$P$46))),"JG falsch",""))</f>
        <v/>
      </c>
      <c r="Y631" s="255" t="str">
        <f>IF((A631="")*(B631=""),"",IF(ISERROR(MATCH(E631,WKNrListe,0)),"WK falsch",LOOKUP(E631,WKNrListe,Übersicht!$B$7:$B$46)))</f>
        <v/>
      </c>
      <c r="Z631" s="269" t="str">
        <f>IF(((AJ631=0)*(AH631&lt;&gt;"")*(AK631="-"))+((AJ631&lt;&gt;0)*(AH631&lt;&gt;"")*(AK631="-")),IF(AG631="X",Übersicht!$C$70,Übersicht!$C$69),"-")</f>
        <v>-</v>
      </c>
      <c r="AA631" s="252" t="str">
        <f>IF((($A631="")*($B631=""))+((MID($Y631,1,4)&lt;&gt;"Wahl")*(Deckblatt!$C$14='WK-Vorlagen'!$C$82))+(Deckblatt!$C$14&lt;&gt;'WK-Vorlagen'!$C$82),"",IF(ISERROR(MATCH(VALUE(MID(G631,1,2)),Schwierigkeitsstufen!$G$7:$G$19,0)),"Gerät falsch",LOOKUP(VALUE(MID(G631,1,2)),Schwierigkeitsstufen!$G$7:$G$19,Schwierigkeitsstufen!$H$7:$H$19)))</f>
        <v/>
      </c>
      <c r="AB631" s="250" t="str">
        <f>IF((($A631="")*($B631=""))+((MID($Y631,1,4)&lt;&gt;"Wahl")*(Deckblatt!$C$14='WK-Vorlagen'!$C$82))+(Deckblatt!$C$14&lt;&gt;'WK-Vorlagen'!$C$82),"",IF(ISERROR(MATCH(VALUE(MID(H631,1,2)),Schwierigkeitsstufen!$G$7:$G$19,0)),"Gerät falsch",LOOKUP(VALUE(MID(H631,1,2)),Schwierigkeitsstufen!$G$7:$G$19,Schwierigkeitsstufen!$H$7:$H$19)))</f>
        <v/>
      </c>
      <c r="AC631" s="250" t="str">
        <f>IF((($A631="")*($B631=""))+((MID($Y631,1,4)&lt;&gt;"Wahl")*(Deckblatt!$C$14='WK-Vorlagen'!$C$82))+(Deckblatt!$C$14&lt;&gt;'WK-Vorlagen'!$C$82),"",IF(ISERROR(MATCH(VALUE(MID(I631,1,2)),Schwierigkeitsstufen!$G$7:$G$19,0)),"Gerät falsch",LOOKUP(VALUE(MID(I631,1,2)),Schwierigkeitsstufen!$G$7:$G$19,Schwierigkeitsstufen!$H$7:$H$19)))</f>
        <v/>
      </c>
      <c r="AD631" s="251" t="str">
        <f>IF((($A631="")*($B631=""))+((MID($Y631,1,4)&lt;&gt;"Wahl")*(Deckblatt!$C$14='WK-Vorlagen'!$C$82))+(Deckblatt!$C$14&lt;&gt;'WK-Vorlagen'!$C$82),"",IF(ISERROR(MATCH(VALUE(MID(J631,1,2)),Schwierigkeitsstufen!$G$7:$G$19,0)),"Gerät falsch",LOOKUP(VALUE(MID(J631,1,2)),Schwierigkeitsstufen!$G$7:$G$19,Schwierigkeitsstufen!$H$7:$H$19)))</f>
        <v/>
      </c>
      <c r="AE631" s="211"/>
      <c r="AG631" s="221" t="str">
        <f t="shared" si="81"/>
        <v/>
      </c>
      <c r="AH631" s="222" t="str">
        <f t="shared" si="83"/>
        <v/>
      </c>
      <c r="AI631" s="220">
        <f t="shared" si="88"/>
        <v>4</v>
      </c>
      <c r="AJ631" s="222">
        <f t="shared" si="84"/>
        <v>0</v>
      </c>
      <c r="AK631" s="299" t="str">
        <f>IF(ISERROR(LOOKUP(E631,WKNrListe,Übersicht!$R$7:$R$46)),"-",LOOKUP(E631,WKNrListe,Übersicht!$R$7:$R$46))</f>
        <v>-</v>
      </c>
      <c r="AL631" s="299" t="str">
        <f t="shared" si="87"/>
        <v>-</v>
      </c>
      <c r="AM631" s="303"/>
      <c r="AN631" s="174" t="str">
        <f t="shared" si="89"/>
        <v>Leer</v>
      </c>
    </row>
    <row r="632" spans="1:40" s="174" customFormat="1" ht="15" customHeight="1">
      <c r="A632" s="63"/>
      <c r="B632" s="63"/>
      <c r="C632" s="84"/>
      <c r="D632" s="85"/>
      <c r="E632" s="62"/>
      <c r="F632" s="62"/>
      <c r="G632" s="62"/>
      <c r="H632" s="62"/>
      <c r="I632" s="62"/>
      <c r="J632" s="62"/>
      <c r="K632" s="62"/>
      <c r="L632" s="62"/>
      <c r="M632" s="62"/>
      <c r="N632" s="62"/>
      <c r="O632" s="62"/>
      <c r="P632" s="62"/>
      <c r="Q632" s="62"/>
      <c r="R632" s="62"/>
      <c r="S632" s="258"/>
      <c r="T632" s="248" t="str">
        <f t="shared" si="85"/>
        <v/>
      </c>
      <c r="U632" s="249" t="str">
        <f t="shared" si="86"/>
        <v/>
      </c>
      <c r="V632" s="294" t="str">
        <f t="shared" si="82"/>
        <v/>
      </c>
      <c r="W632" s="294" t="str">
        <f>IF(((E632="")+(F632="")),"",IF(VLOOKUP(F632,Mannschaften!$A$1:$B$54,2,FALSE)&lt;&gt;E632,"Reiter Mannschaften füllen",""))</f>
        <v/>
      </c>
      <c r="X632" s="248" t="str">
        <f>IF(ISBLANK(C632),"",IF((U632&gt;(LOOKUP(E632,WKNrListe,Übersicht!$O$7:$O$46)))+(U632&lt;(LOOKUP(E632,WKNrListe,Übersicht!$P$7:$P$46))),"JG falsch",""))</f>
        <v/>
      </c>
      <c r="Y632" s="255" t="str">
        <f>IF((A632="")*(B632=""),"",IF(ISERROR(MATCH(E632,WKNrListe,0)),"WK falsch",LOOKUP(E632,WKNrListe,Übersicht!$B$7:$B$46)))</f>
        <v/>
      </c>
      <c r="Z632" s="269" t="str">
        <f>IF(((AJ632=0)*(AH632&lt;&gt;"")*(AK632="-"))+((AJ632&lt;&gt;0)*(AH632&lt;&gt;"")*(AK632="-")),IF(AG632="X",Übersicht!$C$70,Übersicht!$C$69),"-")</f>
        <v>-</v>
      </c>
      <c r="AA632" s="252" t="str">
        <f>IF((($A632="")*($B632=""))+((MID($Y632,1,4)&lt;&gt;"Wahl")*(Deckblatt!$C$14='WK-Vorlagen'!$C$82))+(Deckblatt!$C$14&lt;&gt;'WK-Vorlagen'!$C$82),"",IF(ISERROR(MATCH(VALUE(MID(G632,1,2)),Schwierigkeitsstufen!$G$7:$G$19,0)),"Gerät falsch",LOOKUP(VALUE(MID(G632,1,2)),Schwierigkeitsstufen!$G$7:$G$19,Schwierigkeitsstufen!$H$7:$H$19)))</f>
        <v/>
      </c>
      <c r="AB632" s="250" t="str">
        <f>IF((($A632="")*($B632=""))+((MID($Y632,1,4)&lt;&gt;"Wahl")*(Deckblatt!$C$14='WK-Vorlagen'!$C$82))+(Deckblatt!$C$14&lt;&gt;'WK-Vorlagen'!$C$82),"",IF(ISERROR(MATCH(VALUE(MID(H632,1,2)),Schwierigkeitsstufen!$G$7:$G$19,0)),"Gerät falsch",LOOKUP(VALUE(MID(H632,1,2)),Schwierigkeitsstufen!$G$7:$G$19,Schwierigkeitsstufen!$H$7:$H$19)))</f>
        <v/>
      </c>
      <c r="AC632" s="250" t="str">
        <f>IF((($A632="")*($B632=""))+((MID($Y632,1,4)&lt;&gt;"Wahl")*(Deckblatt!$C$14='WK-Vorlagen'!$C$82))+(Deckblatt!$C$14&lt;&gt;'WK-Vorlagen'!$C$82),"",IF(ISERROR(MATCH(VALUE(MID(I632,1,2)),Schwierigkeitsstufen!$G$7:$G$19,0)),"Gerät falsch",LOOKUP(VALUE(MID(I632,1,2)),Schwierigkeitsstufen!$G$7:$G$19,Schwierigkeitsstufen!$H$7:$H$19)))</f>
        <v/>
      </c>
      <c r="AD632" s="251" t="str">
        <f>IF((($A632="")*($B632=""))+((MID($Y632,1,4)&lt;&gt;"Wahl")*(Deckblatt!$C$14='WK-Vorlagen'!$C$82))+(Deckblatt!$C$14&lt;&gt;'WK-Vorlagen'!$C$82),"",IF(ISERROR(MATCH(VALUE(MID(J632,1,2)),Schwierigkeitsstufen!$G$7:$G$19,0)),"Gerät falsch",LOOKUP(VALUE(MID(J632,1,2)),Schwierigkeitsstufen!$G$7:$G$19,Schwierigkeitsstufen!$H$7:$H$19)))</f>
        <v/>
      </c>
      <c r="AE632" s="211"/>
      <c r="AG632" s="221" t="str">
        <f t="shared" si="81"/>
        <v/>
      </c>
      <c r="AH632" s="222" t="str">
        <f t="shared" si="83"/>
        <v/>
      </c>
      <c r="AI632" s="220">
        <f t="shared" si="88"/>
        <v>4</v>
      </c>
      <c r="AJ632" s="222">
        <f t="shared" si="84"/>
        <v>0</v>
      </c>
      <c r="AK632" s="299" t="str">
        <f>IF(ISERROR(LOOKUP(E632,WKNrListe,Übersicht!$R$7:$R$46)),"-",LOOKUP(E632,WKNrListe,Übersicht!$R$7:$R$46))</f>
        <v>-</v>
      </c>
      <c r="AL632" s="299" t="str">
        <f t="shared" si="87"/>
        <v>-</v>
      </c>
      <c r="AM632" s="303"/>
      <c r="AN632" s="174" t="str">
        <f t="shared" si="89"/>
        <v>Leer</v>
      </c>
    </row>
    <row r="633" spans="1:40" s="174" customFormat="1" ht="15" customHeight="1">
      <c r="A633" s="63"/>
      <c r="B633" s="63"/>
      <c r="C633" s="84"/>
      <c r="D633" s="85"/>
      <c r="E633" s="62"/>
      <c r="F633" s="62"/>
      <c r="G633" s="62"/>
      <c r="H633" s="62"/>
      <c r="I633" s="62"/>
      <c r="J633" s="62"/>
      <c r="K633" s="62"/>
      <c r="L633" s="62"/>
      <c r="M633" s="62"/>
      <c r="N633" s="62"/>
      <c r="O633" s="62"/>
      <c r="P633" s="62"/>
      <c r="Q633" s="62"/>
      <c r="R633" s="62"/>
      <c r="S633" s="258"/>
      <c r="T633" s="248" t="str">
        <f t="shared" si="85"/>
        <v/>
      </c>
      <c r="U633" s="249" t="str">
        <f t="shared" si="86"/>
        <v/>
      </c>
      <c r="V633" s="294" t="str">
        <f t="shared" si="82"/>
        <v/>
      </c>
      <c r="W633" s="294" t="str">
        <f>IF(((E633="")+(F633="")),"",IF(VLOOKUP(F633,Mannschaften!$A$1:$B$54,2,FALSE)&lt;&gt;E633,"Reiter Mannschaften füllen",""))</f>
        <v/>
      </c>
      <c r="X633" s="248" t="str">
        <f>IF(ISBLANK(C633),"",IF((U633&gt;(LOOKUP(E633,WKNrListe,Übersicht!$O$7:$O$46)))+(U633&lt;(LOOKUP(E633,WKNrListe,Übersicht!$P$7:$P$46))),"JG falsch",""))</f>
        <v/>
      </c>
      <c r="Y633" s="255" t="str">
        <f>IF((A633="")*(B633=""),"",IF(ISERROR(MATCH(E633,WKNrListe,0)),"WK falsch",LOOKUP(E633,WKNrListe,Übersicht!$B$7:$B$46)))</f>
        <v/>
      </c>
      <c r="Z633" s="269" t="str">
        <f>IF(((AJ633=0)*(AH633&lt;&gt;"")*(AK633="-"))+((AJ633&lt;&gt;0)*(AH633&lt;&gt;"")*(AK633="-")),IF(AG633="X",Übersicht!$C$70,Übersicht!$C$69),"-")</f>
        <v>-</v>
      </c>
      <c r="AA633" s="252" t="str">
        <f>IF((($A633="")*($B633=""))+((MID($Y633,1,4)&lt;&gt;"Wahl")*(Deckblatt!$C$14='WK-Vorlagen'!$C$82))+(Deckblatt!$C$14&lt;&gt;'WK-Vorlagen'!$C$82),"",IF(ISERROR(MATCH(VALUE(MID(G633,1,2)),Schwierigkeitsstufen!$G$7:$G$19,0)),"Gerät falsch",LOOKUP(VALUE(MID(G633,1,2)),Schwierigkeitsstufen!$G$7:$G$19,Schwierigkeitsstufen!$H$7:$H$19)))</f>
        <v/>
      </c>
      <c r="AB633" s="250" t="str">
        <f>IF((($A633="")*($B633=""))+((MID($Y633,1,4)&lt;&gt;"Wahl")*(Deckblatt!$C$14='WK-Vorlagen'!$C$82))+(Deckblatt!$C$14&lt;&gt;'WK-Vorlagen'!$C$82),"",IF(ISERROR(MATCH(VALUE(MID(H633,1,2)),Schwierigkeitsstufen!$G$7:$G$19,0)),"Gerät falsch",LOOKUP(VALUE(MID(H633,1,2)),Schwierigkeitsstufen!$G$7:$G$19,Schwierigkeitsstufen!$H$7:$H$19)))</f>
        <v/>
      </c>
      <c r="AC633" s="250" t="str">
        <f>IF((($A633="")*($B633=""))+((MID($Y633,1,4)&lt;&gt;"Wahl")*(Deckblatt!$C$14='WK-Vorlagen'!$C$82))+(Deckblatt!$C$14&lt;&gt;'WK-Vorlagen'!$C$82),"",IF(ISERROR(MATCH(VALUE(MID(I633,1,2)),Schwierigkeitsstufen!$G$7:$G$19,0)),"Gerät falsch",LOOKUP(VALUE(MID(I633,1,2)),Schwierigkeitsstufen!$G$7:$G$19,Schwierigkeitsstufen!$H$7:$H$19)))</f>
        <v/>
      </c>
      <c r="AD633" s="251" t="str">
        <f>IF((($A633="")*($B633=""))+((MID($Y633,1,4)&lt;&gt;"Wahl")*(Deckblatt!$C$14='WK-Vorlagen'!$C$82))+(Deckblatt!$C$14&lt;&gt;'WK-Vorlagen'!$C$82),"",IF(ISERROR(MATCH(VALUE(MID(J633,1,2)),Schwierigkeitsstufen!$G$7:$G$19,0)),"Gerät falsch",LOOKUP(VALUE(MID(J633,1,2)),Schwierigkeitsstufen!$G$7:$G$19,Schwierigkeitsstufen!$H$7:$H$19)))</f>
        <v/>
      </c>
      <c r="AE633" s="211"/>
      <c r="AG633" s="221" t="str">
        <f t="shared" si="81"/>
        <v/>
      </c>
      <c r="AH633" s="222" t="str">
        <f t="shared" si="83"/>
        <v/>
      </c>
      <c r="AI633" s="220">
        <f t="shared" si="88"/>
        <v>4</v>
      </c>
      <c r="AJ633" s="222">
        <f t="shared" si="84"/>
        <v>0</v>
      </c>
      <c r="AK633" s="299" t="str">
        <f>IF(ISERROR(LOOKUP(E633,WKNrListe,Übersicht!$R$7:$R$46)),"-",LOOKUP(E633,WKNrListe,Übersicht!$R$7:$R$46))</f>
        <v>-</v>
      </c>
      <c r="AL633" s="299" t="str">
        <f t="shared" si="87"/>
        <v>-</v>
      </c>
      <c r="AM633" s="303"/>
      <c r="AN633" s="174" t="str">
        <f t="shared" si="89"/>
        <v>Leer</v>
      </c>
    </row>
    <row r="634" spans="1:40" s="174" customFormat="1" ht="15" customHeight="1">
      <c r="A634" s="63"/>
      <c r="B634" s="63"/>
      <c r="C634" s="84"/>
      <c r="D634" s="85"/>
      <c r="E634" s="62"/>
      <c r="F634" s="62"/>
      <c r="G634" s="62"/>
      <c r="H634" s="62"/>
      <c r="I634" s="62"/>
      <c r="J634" s="62"/>
      <c r="K634" s="62"/>
      <c r="L634" s="62"/>
      <c r="M634" s="62"/>
      <c r="N634" s="62"/>
      <c r="O634" s="62"/>
      <c r="P634" s="62"/>
      <c r="Q634" s="62"/>
      <c r="R634" s="62"/>
      <c r="S634" s="258"/>
      <c r="T634" s="248" t="str">
        <f t="shared" si="85"/>
        <v/>
      </c>
      <c r="U634" s="249" t="str">
        <f t="shared" si="86"/>
        <v/>
      </c>
      <c r="V634" s="294" t="str">
        <f t="shared" si="82"/>
        <v/>
      </c>
      <c r="W634" s="294" t="str">
        <f>IF(((E634="")+(F634="")),"",IF(VLOOKUP(F634,Mannschaften!$A$1:$B$54,2,FALSE)&lt;&gt;E634,"Reiter Mannschaften füllen",""))</f>
        <v/>
      </c>
      <c r="X634" s="248" t="str">
        <f>IF(ISBLANK(C634),"",IF((U634&gt;(LOOKUP(E634,WKNrListe,Übersicht!$O$7:$O$46)))+(U634&lt;(LOOKUP(E634,WKNrListe,Übersicht!$P$7:$P$46))),"JG falsch",""))</f>
        <v/>
      </c>
      <c r="Y634" s="255" t="str">
        <f>IF((A634="")*(B634=""),"",IF(ISERROR(MATCH(E634,WKNrListe,0)),"WK falsch",LOOKUP(E634,WKNrListe,Übersicht!$B$7:$B$46)))</f>
        <v/>
      </c>
      <c r="Z634" s="269" t="str">
        <f>IF(((AJ634=0)*(AH634&lt;&gt;"")*(AK634="-"))+((AJ634&lt;&gt;0)*(AH634&lt;&gt;"")*(AK634="-")),IF(AG634="X",Übersicht!$C$70,Übersicht!$C$69),"-")</f>
        <v>-</v>
      </c>
      <c r="AA634" s="252" t="str">
        <f>IF((($A634="")*($B634=""))+((MID($Y634,1,4)&lt;&gt;"Wahl")*(Deckblatt!$C$14='WK-Vorlagen'!$C$82))+(Deckblatt!$C$14&lt;&gt;'WK-Vorlagen'!$C$82),"",IF(ISERROR(MATCH(VALUE(MID(G634,1,2)),Schwierigkeitsstufen!$G$7:$G$19,0)),"Gerät falsch",LOOKUP(VALUE(MID(G634,1,2)),Schwierigkeitsstufen!$G$7:$G$19,Schwierigkeitsstufen!$H$7:$H$19)))</f>
        <v/>
      </c>
      <c r="AB634" s="250" t="str">
        <f>IF((($A634="")*($B634=""))+((MID($Y634,1,4)&lt;&gt;"Wahl")*(Deckblatt!$C$14='WK-Vorlagen'!$C$82))+(Deckblatt!$C$14&lt;&gt;'WK-Vorlagen'!$C$82),"",IF(ISERROR(MATCH(VALUE(MID(H634,1,2)),Schwierigkeitsstufen!$G$7:$G$19,0)),"Gerät falsch",LOOKUP(VALUE(MID(H634,1,2)),Schwierigkeitsstufen!$G$7:$G$19,Schwierigkeitsstufen!$H$7:$H$19)))</f>
        <v/>
      </c>
      <c r="AC634" s="250" t="str">
        <f>IF((($A634="")*($B634=""))+((MID($Y634,1,4)&lt;&gt;"Wahl")*(Deckblatt!$C$14='WK-Vorlagen'!$C$82))+(Deckblatt!$C$14&lt;&gt;'WK-Vorlagen'!$C$82),"",IF(ISERROR(MATCH(VALUE(MID(I634,1,2)),Schwierigkeitsstufen!$G$7:$G$19,0)),"Gerät falsch",LOOKUP(VALUE(MID(I634,1,2)),Schwierigkeitsstufen!$G$7:$G$19,Schwierigkeitsstufen!$H$7:$H$19)))</f>
        <v/>
      </c>
      <c r="AD634" s="251" t="str">
        <f>IF((($A634="")*($B634=""))+((MID($Y634,1,4)&lt;&gt;"Wahl")*(Deckblatt!$C$14='WK-Vorlagen'!$C$82))+(Deckblatt!$C$14&lt;&gt;'WK-Vorlagen'!$C$82),"",IF(ISERROR(MATCH(VALUE(MID(J634,1,2)),Schwierigkeitsstufen!$G$7:$G$19,0)),"Gerät falsch",LOOKUP(VALUE(MID(J634,1,2)),Schwierigkeitsstufen!$G$7:$G$19,Schwierigkeitsstufen!$H$7:$H$19)))</f>
        <v/>
      </c>
      <c r="AE634" s="211"/>
      <c r="AG634" s="221" t="str">
        <f t="shared" si="81"/>
        <v/>
      </c>
      <c r="AH634" s="222" t="str">
        <f t="shared" si="83"/>
        <v/>
      </c>
      <c r="AI634" s="220">
        <f t="shared" si="88"/>
        <v>4</v>
      </c>
      <c r="AJ634" s="222">
        <f t="shared" si="84"/>
        <v>0</v>
      </c>
      <c r="AK634" s="299" t="str">
        <f>IF(ISERROR(LOOKUP(E634,WKNrListe,Übersicht!$R$7:$R$46)),"-",LOOKUP(E634,WKNrListe,Übersicht!$R$7:$R$46))</f>
        <v>-</v>
      </c>
      <c r="AL634" s="299" t="str">
        <f t="shared" si="87"/>
        <v>-</v>
      </c>
      <c r="AM634" s="303"/>
      <c r="AN634" s="174" t="str">
        <f t="shared" si="89"/>
        <v>Leer</v>
      </c>
    </row>
    <row r="635" spans="1:40" s="174" customFormat="1" ht="15" customHeight="1">
      <c r="A635" s="63"/>
      <c r="B635" s="63"/>
      <c r="C635" s="84"/>
      <c r="D635" s="85"/>
      <c r="E635" s="62"/>
      <c r="F635" s="62"/>
      <c r="G635" s="62"/>
      <c r="H635" s="62"/>
      <c r="I635" s="62"/>
      <c r="J635" s="62"/>
      <c r="K635" s="62"/>
      <c r="L635" s="62"/>
      <c r="M635" s="62"/>
      <c r="N635" s="62"/>
      <c r="O635" s="62"/>
      <c r="P635" s="62"/>
      <c r="Q635" s="62"/>
      <c r="R635" s="62"/>
      <c r="S635" s="258"/>
      <c r="T635" s="248" t="str">
        <f t="shared" si="85"/>
        <v/>
      </c>
      <c r="U635" s="249" t="str">
        <f t="shared" si="86"/>
        <v/>
      </c>
      <c r="V635" s="294" t="str">
        <f t="shared" si="82"/>
        <v/>
      </c>
      <c r="W635" s="294" t="str">
        <f>IF(((E635="")+(F635="")),"",IF(VLOOKUP(F635,Mannschaften!$A$1:$B$54,2,FALSE)&lt;&gt;E635,"Reiter Mannschaften füllen",""))</f>
        <v/>
      </c>
      <c r="X635" s="248" t="str">
        <f>IF(ISBLANK(C635),"",IF((U635&gt;(LOOKUP(E635,WKNrListe,Übersicht!$O$7:$O$46)))+(U635&lt;(LOOKUP(E635,WKNrListe,Übersicht!$P$7:$P$46))),"JG falsch",""))</f>
        <v/>
      </c>
      <c r="Y635" s="255" t="str">
        <f>IF((A635="")*(B635=""),"",IF(ISERROR(MATCH(E635,WKNrListe,0)),"WK falsch",LOOKUP(E635,WKNrListe,Übersicht!$B$7:$B$46)))</f>
        <v/>
      </c>
      <c r="Z635" s="269" t="str">
        <f>IF(((AJ635=0)*(AH635&lt;&gt;"")*(AK635="-"))+((AJ635&lt;&gt;0)*(AH635&lt;&gt;"")*(AK635="-")),IF(AG635="X",Übersicht!$C$70,Übersicht!$C$69),"-")</f>
        <v>-</v>
      </c>
      <c r="AA635" s="252" t="str">
        <f>IF((($A635="")*($B635=""))+((MID($Y635,1,4)&lt;&gt;"Wahl")*(Deckblatt!$C$14='WK-Vorlagen'!$C$82))+(Deckblatt!$C$14&lt;&gt;'WK-Vorlagen'!$C$82),"",IF(ISERROR(MATCH(VALUE(MID(G635,1,2)),Schwierigkeitsstufen!$G$7:$G$19,0)),"Gerät falsch",LOOKUP(VALUE(MID(G635,1,2)),Schwierigkeitsstufen!$G$7:$G$19,Schwierigkeitsstufen!$H$7:$H$19)))</f>
        <v/>
      </c>
      <c r="AB635" s="250" t="str">
        <f>IF((($A635="")*($B635=""))+((MID($Y635,1,4)&lt;&gt;"Wahl")*(Deckblatt!$C$14='WK-Vorlagen'!$C$82))+(Deckblatt!$C$14&lt;&gt;'WK-Vorlagen'!$C$82),"",IF(ISERROR(MATCH(VALUE(MID(H635,1,2)),Schwierigkeitsstufen!$G$7:$G$19,0)),"Gerät falsch",LOOKUP(VALUE(MID(H635,1,2)),Schwierigkeitsstufen!$G$7:$G$19,Schwierigkeitsstufen!$H$7:$H$19)))</f>
        <v/>
      </c>
      <c r="AC635" s="250" t="str">
        <f>IF((($A635="")*($B635=""))+((MID($Y635,1,4)&lt;&gt;"Wahl")*(Deckblatt!$C$14='WK-Vorlagen'!$C$82))+(Deckblatt!$C$14&lt;&gt;'WK-Vorlagen'!$C$82),"",IF(ISERROR(MATCH(VALUE(MID(I635,1,2)),Schwierigkeitsstufen!$G$7:$G$19,0)),"Gerät falsch",LOOKUP(VALUE(MID(I635,1,2)),Schwierigkeitsstufen!$G$7:$G$19,Schwierigkeitsstufen!$H$7:$H$19)))</f>
        <v/>
      </c>
      <c r="AD635" s="251" t="str">
        <f>IF((($A635="")*($B635=""))+((MID($Y635,1,4)&lt;&gt;"Wahl")*(Deckblatt!$C$14='WK-Vorlagen'!$C$82))+(Deckblatt!$C$14&lt;&gt;'WK-Vorlagen'!$C$82),"",IF(ISERROR(MATCH(VALUE(MID(J635,1,2)),Schwierigkeitsstufen!$G$7:$G$19,0)),"Gerät falsch",LOOKUP(VALUE(MID(J635,1,2)),Schwierigkeitsstufen!$G$7:$G$19,Schwierigkeitsstufen!$H$7:$H$19)))</f>
        <v/>
      </c>
      <c r="AE635" s="211"/>
      <c r="AG635" s="221" t="str">
        <f t="shared" si="81"/>
        <v/>
      </c>
      <c r="AH635" s="222" t="str">
        <f t="shared" si="83"/>
        <v/>
      </c>
      <c r="AI635" s="220">
        <f t="shared" si="88"/>
        <v>4</v>
      </c>
      <c r="AJ635" s="222">
        <f t="shared" si="84"/>
        <v>0</v>
      </c>
      <c r="AK635" s="299" t="str">
        <f>IF(ISERROR(LOOKUP(E635,WKNrListe,Übersicht!$R$7:$R$46)),"-",LOOKUP(E635,WKNrListe,Übersicht!$R$7:$R$46))</f>
        <v>-</v>
      </c>
      <c r="AL635" s="299" t="str">
        <f t="shared" si="87"/>
        <v>-</v>
      </c>
      <c r="AM635" s="303"/>
      <c r="AN635" s="174" t="str">
        <f t="shared" si="89"/>
        <v>Leer</v>
      </c>
    </row>
    <row r="636" spans="1:40" s="174" customFormat="1" ht="15" customHeight="1">
      <c r="A636" s="63"/>
      <c r="B636" s="63"/>
      <c r="C636" s="84"/>
      <c r="D636" s="85"/>
      <c r="E636" s="62"/>
      <c r="F636" s="62"/>
      <c r="G636" s="62"/>
      <c r="H636" s="62"/>
      <c r="I636" s="62"/>
      <c r="J636" s="62"/>
      <c r="K636" s="62"/>
      <c r="L636" s="62"/>
      <c r="M636" s="62"/>
      <c r="N636" s="62"/>
      <c r="O636" s="62"/>
      <c r="P636" s="62"/>
      <c r="Q636" s="62"/>
      <c r="R636" s="62"/>
      <c r="S636" s="258"/>
      <c r="T636" s="248" t="str">
        <f t="shared" si="85"/>
        <v/>
      </c>
      <c r="U636" s="249" t="str">
        <f t="shared" si="86"/>
        <v/>
      </c>
      <c r="V636" s="294" t="str">
        <f t="shared" si="82"/>
        <v/>
      </c>
      <c r="W636" s="294" t="str">
        <f>IF(((E636="")+(F636="")),"",IF(VLOOKUP(F636,Mannschaften!$A$1:$B$54,2,FALSE)&lt;&gt;E636,"Reiter Mannschaften füllen",""))</f>
        <v/>
      </c>
      <c r="X636" s="248" t="str">
        <f>IF(ISBLANK(C636),"",IF((U636&gt;(LOOKUP(E636,WKNrListe,Übersicht!$O$7:$O$46)))+(U636&lt;(LOOKUP(E636,WKNrListe,Übersicht!$P$7:$P$46))),"JG falsch",""))</f>
        <v/>
      </c>
      <c r="Y636" s="255" t="str">
        <f>IF((A636="")*(B636=""),"",IF(ISERROR(MATCH(E636,WKNrListe,0)),"WK falsch",LOOKUP(E636,WKNrListe,Übersicht!$B$7:$B$46)))</f>
        <v/>
      </c>
      <c r="Z636" s="269" t="str">
        <f>IF(((AJ636=0)*(AH636&lt;&gt;"")*(AK636="-"))+((AJ636&lt;&gt;0)*(AH636&lt;&gt;"")*(AK636="-")),IF(AG636="X",Übersicht!$C$70,Übersicht!$C$69),"-")</f>
        <v>-</v>
      </c>
      <c r="AA636" s="252" t="str">
        <f>IF((($A636="")*($B636=""))+((MID($Y636,1,4)&lt;&gt;"Wahl")*(Deckblatt!$C$14='WK-Vorlagen'!$C$82))+(Deckblatt!$C$14&lt;&gt;'WK-Vorlagen'!$C$82),"",IF(ISERROR(MATCH(VALUE(MID(G636,1,2)),Schwierigkeitsstufen!$G$7:$G$19,0)),"Gerät falsch",LOOKUP(VALUE(MID(G636,1,2)),Schwierigkeitsstufen!$G$7:$G$19,Schwierigkeitsstufen!$H$7:$H$19)))</f>
        <v/>
      </c>
      <c r="AB636" s="250" t="str">
        <f>IF((($A636="")*($B636=""))+((MID($Y636,1,4)&lt;&gt;"Wahl")*(Deckblatt!$C$14='WK-Vorlagen'!$C$82))+(Deckblatt!$C$14&lt;&gt;'WK-Vorlagen'!$C$82),"",IF(ISERROR(MATCH(VALUE(MID(H636,1,2)),Schwierigkeitsstufen!$G$7:$G$19,0)),"Gerät falsch",LOOKUP(VALUE(MID(H636,1,2)),Schwierigkeitsstufen!$G$7:$G$19,Schwierigkeitsstufen!$H$7:$H$19)))</f>
        <v/>
      </c>
      <c r="AC636" s="250" t="str">
        <f>IF((($A636="")*($B636=""))+((MID($Y636,1,4)&lt;&gt;"Wahl")*(Deckblatt!$C$14='WK-Vorlagen'!$C$82))+(Deckblatt!$C$14&lt;&gt;'WK-Vorlagen'!$C$82),"",IF(ISERROR(MATCH(VALUE(MID(I636,1,2)),Schwierigkeitsstufen!$G$7:$G$19,0)),"Gerät falsch",LOOKUP(VALUE(MID(I636,1,2)),Schwierigkeitsstufen!$G$7:$G$19,Schwierigkeitsstufen!$H$7:$H$19)))</f>
        <v/>
      </c>
      <c r="AD636" s="251" t="str">
        <f>IF((($A636="")*($B636=""))+((MID($Y636,1,4)&lt;&gt;"Wahl")*(Deckblatt!$C$14='WK-Vorlagen'!$C$82))+(Deckblatt!$C$14&lt;&gt;'WK-Vorlagen'!$C$82),"",IF(ISERROR(MATCH(VALUE(MID(J636,1,2)),Schwierigkeitsstufen!$G$7:$G$19,0)),"Gerät falsch",LOOKUP(VALUE(MID(J636,1,2)),Schwierigkeitsstufen!$G$7:$G$19,Schwierigkeitsstufen!$H$7:$H$19)))</f>
        <v/>
      </c>
      <c r="AE636" s="211"/>
      <c r="AG636" s="221" t="str">
        <f t="shared" si="81"/>
        <v/>
      </c>
      <c r="AH636" s="222" t="str">
        <f t="shared" si="83"/>
        <v/>
      </c>
      <c r="AI636" s="220">
        <f t="shared" si="88"/>
        <v>4</v>
      </c>
      <c r="AJ636" s="222">
        <f t="shared" si="84"/>
        <v>0</v>
      </c>
      <c r="AK636" s="299" t="str">
        <f>IF(ISERROR(LOOKUP(E636,WKNrListe,Übersicht!$R$7:$R$46)),"-",LOOKUP(E636,WKNrListe,Übersicht!$R$7:$R$46))</f>
        <v>-</v>
      </c>
      <c r="AL636" s="299" t="str">
        <f t="shared" si="87"/>
        <v>-</v>
      </c>
      <c r="AM636" s="303"/>
      <c r="AN636" s="174" t="str">
        <f t="shared" si="89"/>
        <v>Leer</v>
      </c>
    </row>
    <row r="637" spans="1:40" s="174" customFormat="1" ht="15" customHeight="1">
      <c r="A637" s="63"/>
      <c r="B637" s="63"/>
      <c r="C637" s="84"/>
      <c r="D637" s="85"/>
      <c r="E637" s="62"/>
      <c r="F637" s="62"/>
      <c r="G637" s="62"/>
      <c r="H637" s="62"/>
      <c r="I637" s="62"/>
      <c r="J637" s="62"/>
      <c r="K637" s="62"/>
      <c r="L637" s="62"/>
      <c r="M637" s="62"/>
      <c r="N637" s="62"/>
      <c r="O637" s="62"/>
      <c r="P637" s="62"/>
      <c r="Q637" s="62"/>
      <c r="R637" s="62"/>
      <c r="S637" s="258"/>
      <c r="T637" s="248" t="str">
        <f t="shared" si="85"/>
        <v/>
      </c>
      <c r="U637" s="249" t="str">
        <f t="shared" si="86"/>
        <v/>
      </c>
      <c r="V637" s="294" t="str">
        <f t="shared" si="82"/>
        <v/>
      </c>
      <c r="W637" s="294" t="str">
        <f>IF(((E637="")+(F637="")),"",IF(VLOOKUP(F637,Mannschaften!$A$1:$B$54,2,FALSE)&lt;&gt;E637,"Reiter Mannschaften füllen",""))</f>
        <v/>
      </c>
      <c r="X637" s="248" t="str">
        <f>IF(ISBLANK(C637),"",IF((U637&gt;(LOOKUP(E637,WKNrListe,Übersicht!$O$7:$O$46)))+(U637&lt;(LOOKUP(E637,WKNrListe,Übersicht!$P$7:$P$46))),"JG falsch",""))</f>
        <v/>
      </c>
      <c r="Y637" s="255" t="str">
        <f>IF((A637="")*(B637=""),"",IF(ISERROR(MATCH(E637,WKNrListe,0)),"WK falsch",LOOKUP(E637,WKNrListe,Übersicht!$B$7:$B$46)))</f>
        <v/>
      </c>
      <c r="Z637" s="269" t="str">
        <f>IF(((AJ637=0)*(AH637&lt;&gt;"")*(AK637="-"))+((AJ637&lt;&gt;0)*(AH637&lt;&gt;"")*(AK637="-")),IF(AG637="X",Übersicht!$C$70,Übersicht!$C$69),"-")</f>
        <v>-</v>
      </c>
      <c r="AA637" s="252" t="str">
        <f>IF((($A637="")*($B637=""))+((MID($Y637,1,4)&lt;&gt;"Wahl")*(Deckblatt!$C$14='WK-Vorlagen'!$C$82))+(Deckblatt!$C$14&lt;&gt;'WK-Vorlagen'!$C$82),"",IF(ISERROR(MATCH(VALUE(MID(G637,1,2)),Schwierigkeitsstufen!$G$7:$G$19,0)),"Gerät falsch",LOOKUP(VALUE(MID(G637,1,2)),Schwierigkeitsstufen!$G$7:$G$19,Schwierigkeitsstufen!$H$7:$H$19)))</f>
        <v/>
      </c>
      <c r="AB637" s="250" t="str">
        <f>IF((($A637="")*($B637=""))+((MID($Y637,1,4)&lt;&gt;"Wahl")*(Deckblatt!$C$14='WK-Vorlagen'!$C$82))+(Deckblatt!$C$14&lt;&gt;'WK-Vorlagen'!$C$82),"",IF(ISERROR(MATCH(VALUE(MID(H637,1,2)),Schwierigkeitsstufen!$G$7:$G$19,0)),"Gerät falsch",LOOKUP(VALUE(MID(H637,1,2)),Schwierigkeitsstufen!$G$7:$G$19,Schwierigkeitsstufen!$H$7:$H$19)))</f>
        <v/>
      </c>
      <c r="AC637" s="250" t="str">
        <f>IF((($A637="")*($B637=""))+((MID($Y637,1,4)&lt;&gt;"Wahl")*(Deckblatt!$C$14='WK-Vorlagen'!$C$82))+(Deckblatt!$C$14&lt;&gt;'WK-Vorlagen'!$C$82),"",IF(ISERROR(MATCH(VALUE(MID(I637,1,2)),Schwierigkeitsstufen!$G$7:$G$19,0)),"Gerät falsch",LOOKUP(VALUE(MID(I637,1,2)),Schwierigkeitsstufen!$G$7:$G$19,Schwierigkeitsstufen!$H$7:$H$19)))</f>
        <v/>
      </c>
      <c r="AD637" s="251" t="str">
        <f>IF((($A637="")*($B637=""))+((MID($Y637,1,4)&lt;&gt;"Wahl")*(Deckblatt!$C$14='WK-Vorlagen'!$C$82))+(Deckblatt!$C$14&lt;&gt;'WK-Vorlagen'!$C$82),"",IF(ISERROR(MATCH(VALUE(MID(J637,1,2)),Schwierigkeitsstufen!$G$7:$G$19,0)),"Gerät falsch",LOOKUP(VALUE(MID(J637,1,2)),Schwierigkeitsstufen!$G$7:$G$19,Schwierigkeitsstufen!$H$7:$H$19)))</f>
        <v/>
      </c>
      <c r="AE637" s="211"/>
      <c r="AG637" s="221" t="str">
        <f t="shared" si="81"/>
        <v/>
      </c>
      <c r="AH637" s="222" t="str">
        <f t="shared" si="83"/>
        <v/>
      </c>
      <c r="AI637" s="220">
        <f t="shared" si="88"/>
        <v>4</v>
      </c>
      <c r="AJ637" s="222">
        <f t="shared" si="84"/>
        <v>0</v>
      </c>
      <c r="AK637" s="299" t="str">
        <f>IF(ISERROR(LOOKUP(E637,WKNrListe,Übersicht!$R$7:$R$46)),"-",LOOKUP(E637,WKNrListe,Übersicht!$R$7:$R$46))</f>
        <v>-</v>
      </c>
      <c r="AL637" s="299" t="str">
        <f t="shared" si="87"/>
        <v>-</v>
      </c>
      <c r="AM637" s="303"/>
      <c r="AN637" s="174" t="str">
        <f t="shared" si="89"/>
        <v>Leer</v>
      </c>
    </row>
    <row r="638" spans="1:40" s="174" customFormat="1" ht="15" customHeight="1">
      <c r="A638" s="63"/>
      <c r="B638" s="63"/>
      <c r="C638" s="84"/>
      <c r="D638" s="85"/>
      <c r="E638" s="62"/>
      <c r="F638" s="62"/>
      <c r="G638" s="62"/>
      <c r="H638" s="62"/>
      <c r="I638" s="62"/>
      <c r="J638" s="62"/>
      <c r="K638" s="62"/>
      <c r="L638" s="62"/>
      <c r="M638" s="62"/>
      <c r="N638" s="62"/>
      <c r="O638" s="62"/>
      <c r="P638" s="62"/>
      <c r="Q638" s="62"/>
      <c r="R638" s="62"/>
      <c r="S638" s="258"/>
      <c r="T638" s="248" t="str">
        <f t="shared" si="85"/>
        <v/>
      </c>
      <c r="U638" s="249" t="str">
        <f t="shared" si="86"/>
        <v/>
      </c>
      <c r="V638" s="294" t="str">
        <f t="shared" si="82"/>
        <v/>
      </c>
      <c r="W638" s="294" t="str">
        <f>IF(((E638="")+(F638="")),"",IF(VLOOKUP(F638,Mannschaften!$A$1:$B$54,2,FALSE)&lt;&gt;E638,"Reiter Mannschaften füllen",""))</f>
        <v/>
      </c>
      <c r="X638" s="248" t="str">
        <f>IF(ISBLANK(C638),"",IF((U638&gt;(LOOKUP(E638,WKNrListe,Übersicht!$O$7:$O$46)))+(U638&lt;(LOOKUP(E638,WKNrListe,Übersicht!$P$7:$P$46))),"JG falsch",""))</f>
        <v/>
      </c>
      <c r="Y638" s="255" t="str">
        <f>IF((A638="")*(B638=""),"",IF(ISERROR(MATCH(E638,WKNrListe,0)),"WK falsch",LOOKUP(E638,WKNrListe,Übersicht!$B$7:$B$46)))</f>
        <v/>
      </c>
      <c r="Z638" s="269" t="str">
        <f>IF(((AJ638=0)*(AH638&lt;&gt;"")*(AK638="-"))+((AJ638&lt;&gt;0)*(AH638&lt;&gt;"")*(AK638="-")),IF(AG638="X",Übersicht!$C$70,Übersicht!$C$69),"-")</f>
        <v>-</v>
      </c>
      <c r="AA638" s="252" t="str">
        <f>IF((($A638="")*($B638=""))+((MID($Y638,1,4)&lt;&gt;"Wahl")*(Deckblatt!$C$14='WK-Vorlagen'!$C$82))+(Deckblatt!$C$14&lt;&gt;'WK-Vorlagen'!$C$82),"",IF(ISERROR(MATCH(VALUE(MID(G638,1,2)),Schwierigkeitsstufen!$G$7:$G$19,0)),"Gerät falsch",LOOKUP(VALUE(MID(G638,1,2)),Schwierigkeitsstufen!$G$7:$G$19,Schwierigkeitsstufen!$H$7:$H$19)))</f>
        <v/>
      </c>
      <c r="AB638" s="250" t="str">
        <f>IF((($A638="")*($B638=""))+((MID($Y638,1,4)&lt;&gt;"Wahl")*(Deckblatt!$C$14='WK-Vorlagen'!$C$82))+(Deckblatt!$C$14&lt;&gt;'WK-Vorlagen'!$C$82),"",IF(ISERROR(MATCH(VALUE(MID(H638,1,2)),Schwierigkeitsstufen!$G$7:$G$19,0)),"Gerät falsch",LOOKUP(VALUE(MID(H638,1,2)),Schwierigkeitsstufen!$G$7:$G$19,Schwierigkeitsstufen!$H$7:$H$19)))</f>
        <v/>
      </c>
      <c r="AC638" s="250" t="str">
        <f>IF((($A638="")*($B638=""))+((MID($Y638,1,4)&lt;&gt;"Wahl")*(Deckblatt!$C$14='WK-Vorlagen'!$C$82))+(Deckblatt!$C$14&lt;&gt;'WK-Vorlagen'!$C$82),"",IF(ISERROR(MATCH(VALUE(MID(I638,1,2)),Schwierigkeitsstufen!$G$7:$G$19,0)),"Gerät falsch",LOOKUP(VALUE(MID(I638,1,2)),Schwierigkeitsstufen!$G$7:$G$19,Schwierigkeitsstufen!$H$7:$H$19)))</f>
        <v/>
      </c>
      <c r="AD638" s="251" t="str">
        <f>IF((($A638="")*($B638=""))+((MID($Y638,1,4)&lt;&gt;"Wahl")*(Deckblatt!$C$14='WK-Vorlagen'!$C$82))+(Deckblatt!$C$14&lt;&gt;'WK-Vorlagen'!$C$82),"",IF(ISERROR(MATCH(VALUE(MID(J638,1,2)),Schwierigkeitsstufen!$G$7:$G$19,0)),"Gerät falsch",LOOKUP(VALUE(MID(J638,1,2)),Schwierigkeitsstufen!$G$7:$G$19,Schwierigkeitsstufen!$H$7:$H$19)))</f>
        <v/>
      </c>
      <c r="AE638" s="211"/>
      <c r="AG638" s="221" t="str">
        <f t="shared" si="81"/>
        <v/>
      </c>
      <c r="AH638" s="222" t="str">
        <f t="shared" si="83"/>
        <v/>
      </c>
      <c r="AI638" s="220">
        <f t="shared" si="88"/>
        <v>4</v>
      </c>
      <c r="AJ638" s="222">
        <f t="shared" si="84"/>
        <v>0</v>
      </c>
      <c r="AK638" s="299" t="str">
        <f>IF(ISERROR(LOOKUP(E638,WKNrListe,Übersicht!$R$7:$R$46)),"-",LOOKUP(E638,WKNrListe,Übersicht!$R$7:$R$46))</f>
        <v>-</v>
      </c>
      <c r="AL638" s="299" t="str">
        <f t="shared" si="87"/>
        <v>-</v>
      </c>
      <c r="AM638" s="303"/>
      <c r="AN638" s="174" t="str">
        <f t="shared" si="89"/>
        <v>Leer</v>
      </c>
    </row>
    <row r="639" spans="1:40" s="174" customFormat="1" ht="15" customHeight="1">
      <c r="A639" s="63"/>
      <c r="B639" s="63"/>
      <c r="C639" s="84"/>
      <c r="D639" s="85"/>
      <c r="E639" s="62"/>
      <c r="F639" s="62"/>
      <c r="G639" s="62"/>
      <c r="H639" s="62"/>
      <c r="I639" s="62"/>
      <c r="J639" s="62"/>
      <c r="K639" s="62"/>
      <c r="L639" s="62"/>
      <c r="M639" s="62"/>
      <c r="N639" s="62"/>
      <c r="O639" s="62"/>
      <c r="P639" s="62"/>
      <c r="Q639" s="62"/>
      <c r="R639" s="62"/>
      <c r="S639" s="258"/>
      <c r="T639" s="248" t="str">
        <f t="shared" si="85"/>
        <v/>
      </c>
      <c r="U639" s="249" t="str">
        <f t="shared" si="86"/>
        <v/>
      </c>
      <c r="V639" s="294" t="str">
        <f t="shared" si="82"/>
        <v/>
      </c>
      <c r="W639" s="294" t="str">
        <f>IF(((E639="")+(F639="")),"",IF(VLOOKUP(F639,Mannschaften!$A$1:$B$54,2,FALSE)&lt;&gt;E639,"Reiter Mannschaften füllen",""))</f>
        <v/>
      </c>
      <c r="X639" s="248" t="str">
        <f>IF(ISBLANK(C639),"",IF((U639&gt;(LOOKUP(E639,WKNrListe,Übersicht!$O$7:$O$46)))+(U639&lt;(LOOKUP(E639,WKNrListe,Übersicht!$P$7:$P$46))),"JG falsch",""))</f>
        <v/>
      </c>
      <c r="Y639" s="255" t="str">
        <f>IF((A639="")*(B639=""),"",IF(ISERROR(MATCH(E639,WKNrListe,0)),"WK falsch",LOOKUP(E639,WKNrListe,Übersicht!$B$7:$B$46)))</f>
        <v/>
      </c>
      <c r="Z639" s="269" t="str">
        <f>IF(((AJ639=0)*(AH639&lt;&gt;"")*(AK639="-"))+((AJ639&lt;&gt;0)*(AH639&lt;&gt;"")*(AK639="-")),IF(AG639="X",Übersicht!$C$70,Übersicht!$C$69),"-")</f>
        <v>-</v>
      </c>
      <c r="AA639" s="252" t="str">
        <f>IF((($A639="")*($B639=""))+((MID($Y639,1,4)&lt;&gt;"Wahl")*(Deckblatt!$C$14='WK-Vorlagen'!$C$82))+(Deckblatt!$C$14&lt;&gt;'WK-Vorlagen'!$C$82),"",IF(ISERROR(MATCH(VALUE(MID(G639,1,2)),Schwierigkeitsstufen!$G$7:$G$19,0)),"Gerät falsch",LOOKUP(VALUE(MID(G639,1,2)),Schwierigkeitsstufen!$G$7:$G$19,Schwierigkeitsstufen!$H$7:$H$19)))</f>
        <v/>
      </c>
      <c r="AB639" s="250" t="str">
        <f>IF((($A639="")*($B639=""))+((MID($Y639,1,4)&lt;&gt;"Wahl")*(Deckblatt!$C$14='WK-Vorlagen'!$C$82))+(Deckblatt!$C$14&lt;&gt;'WK-Vorlagen'!$C$82),"",IF(ISERROR(MATCH(VALUE(MID(H639,1,2)),Schwierigkeitsstufen!$G$7:$G$19,0)),"Gerät falsch",LOOKUP(VALUE(MID(H639,1,2)),Schwierigkeitsstufen!$G$7:$G$19,Schwierigkeitsstufen!$H$7:$H$19)))</f>
        <v/>
      </c>
      <c r="AC639" s="250" t="str">
        <f>IF((($A639="")*($B639=""))+((MID($Y639,1,4)&lt;&gt;"Wahl")*(Deckblatt!$C$14='WK-Vorlagen'!$C$82))+(Deckblatt!$C$14&lt;&gt;'WK-Vorlagen'!$C$82),"",IF(ISERROR(MATCH(VALUE(MID(I639,1,2)),Schwierigkeitsstufen!$G$7:$G$19,0)),"Gerät falsch",LOOKUP(VALUE(MID(I639,1,2)),Schwierigkeitsstufen!$G$7:$G$19,Schwierigkeitsstufen!$H$7:$H$19)))</f>
        <v/>
      </c>
      <c r="AD639" s="251" t="str">
        <f>IF((($A639="")*($B639=""))+((MID($Y639,1,4)&lt;&gt;"Wahl")*(Deckblatt!$C$14='WK-Vorlagen'!$C$82))+(Deckblatt!$C$14&lt;&gt;'WK-Vorlagen'!$C$82),"",IF(ISERROR(MATCH(VALUE(MID(J639,1,2)),Schwierigkeitsstufen!$G$7:$G$19,0)),"Gerät falsch",LOOKUP(VALUE(MID(J639,1,2)),Schwierigkeitsstufen!$G$7:$G$19,Schwierigkeitsstufen!$H$7:$H$19)))</f>
        <v/>
      </c>
      <c r="AE639" s="211"/>
      <c r="AG639" s="221" t="str">
        <f t="shared" si="81"/>
        <v/>
      </c>
      <c r="AH639" s="222" t="str">
        <f t="shared" si="83"/>
        <v/>
      </c>
      <c r="AI639" s="220">
        <f t="shared" si="88"/>
        <v>4</v>
      </c>
      <c r="AJ639" s="222">
        <f t="shared" si="84"/>
        <v>0</v>
      </c>
      <c r="AK639" s="299" t="str">
        <f>IF(ISERROR(LOOKUP(E639,WKNrListe,Übersicht!$R$7:$R$46)),"-",LOOKUP(E639,WKNrListe,Übersicht!$R$7:$R$46))</f>
        <v>-</v>
      </c>
      <c r="AL639" s="299" t="str">
        <f t="shared" si="87"/>
        <v>-</v>
      </c>
      <c r="AM639" s="303"/>
      <c r="AN639" s="174" t="str">
        <f t="shared" si="89"/>
        <v>Leer</v>
      </c>
    </row>
    <row r="640" spans="1:40" s="174" customFormat="1" ht="15" customHeight="1">
      <c r="A640" s="63"/>
      <c r="B640" s="63"/>
      <c r="C640" s="84"/>
      <c r="D640" s="85"/>
      <c r="E640" s="62"/>
      <c r="F640" s="62"/>
      <c r="G640" s="62"/>
      <c r="H640" s="62"/>
      <c r="I640" s="62"/>
      <c r="J640" s="62"/>
      <c r="K640" s="62"/>
      <c r="L640" s="62"/>
      <c r="M640" s="62"/>
      <c r="N640" s="62"/>
      <c r="O640" s="62"/>
      <c r="P640" s="62"/>
      <c r="Q640" s="62"/>
      <c r="R640" s="62"/>
      <c r="S640" s="258"/>
      <c r="T640" s="248" t="str">
        <f t="shared" si="85"/>
        <v/>
      </c>
      <c r="U640" s="249" t="str">
        <f t="shared" si="86"/>
        <v/>
      </c>
      <c r="V640" s="294" t="str">
        <f t="shared" si="82"/>
        <v/>
      </c>
      <c r="W640" s="294" t="str">
        <f>IF(((E640="")+(F640="")),"",IF(VLOOKUP(F640,Mannschaften!$A$1:$B$54,2,FALSE)&lt;&gt;E640,"Reiter Mannschaften füllen",""))</f>
        <v/>
      </c>
      <c r="X640" s="248" t="str">
        <f>IF(ISBLANK(C640),"",IF((U640&gt;(LOOKUP(E640,WKNrListe,Übersicht!$O$7:$O$46)))+(U640&lt;(LOOKUP(E640,WKNrListe,Übersicht!$P$7:$P$46))),"JG falsch",""))</f>
        <v/>
      </c>
      <c r="Y640" s="255" t="str">
        <f>IF((A640="")*(B640=""),"",IF(ISERROR(MATCH(E640,WKNrListe,0)),"WK falsch",LOOKUP(E640,WKNrListe,Übersicht!$B$7:$B$46)))</f>
        <v/>
      </c>
      <c r="Z640" s="269" t="str">
        <f>IF(((AJ640=0)*(AH640&lt;&gt;"")*(AK640="-"))+((AJ640&lt;&gt;0)*(AH640&lt;&gt;"")*(AK640="-")),IF(AG640="X",Übersicht!$C$70,Übersicht!$C$69),"-")</f>
        <v>-</v>
      </c>
      <c r="AA640" s="252" t="str">
        <f>IF((($A640="")*($B640=""))+((MID($Y640,1,4)&lt;&gt;"Wahl")*(Deckblatt!$C$14='WK-Vorlagen'!$C$82))+(Deckblatt!$C$14&lt;&gt;'WK-Vorlagen'!$C$82),"",IF(ISERROR(MATCH(VALUE(MID(G640,1,2)),Schwierigkeitsstufen!$G$7:$G$19,0)),"Gerät falsch",LOOKUP(VALUE(MID(G640,1,2)),Schwierigkeitsstufen!$G$7:$G$19,Schwierigkeitsstufen!$H$7:$H$19)))</f>
        <v/>
      </c>
      <c r="AB640" s="250" t="str">
        <f>IF((($A640="")*($B640=""))+((MID($Y640,1,4)&lt;&gt;"Wahl")*(Deckblatt!$C$14='WK-Vorlagen'!$C$82))+(Deckblatt!$C$14&lt;&gt;'WK-Vorlagen'!$C$82),"",IF(ISERROR(MATCH(VALUE(MID(H640,1,2)),Schwierigkeitsstufen!$G$7:$G$19,0)),"Gerät falsch",LOOKUP(VALUE(MID(H640,1,2)),Schwierigkeitsstufen!$G$7:$G$19,Schwierigkeitsstufen!$H$7:$H$19)))</f>
        <v/>
      </c>
      <c r="AC640" s="250" t="str">
        <f>IF((($A640="")*($B640=""))+((MID($Y640,1,4)&lt;&gt;"Wahl")*(Deckblatt!$C$14='WK-Vorlagen'!$C$82))+(Deckblatt!$C$14&lt;&gt;'WK-Vorlagen'!$C$82),"",IF(ISERROR(MATCH(VALUE(MID(I640,1,2)),Schwierigkeitsstufen!$G$7:$G$19,0)),"Gerät falsch",LOOKUP(VALUE(MID(I640,1,2)),Schwierigkeitsstufen!$G$7:$G$19,Schwierigkeitsstufen!$H$7:$H$19)))</f>
        <v/>
      </c>
      <c r="AD640" s="251" t="str">
        <f>IF((($A640="")*($B640=""))+((MID($Y640,1,4)&lt;&gt;"Wahl")*(Deckblatt!$C$14='WK-Vorlagen'!$C$82))+(Deckblatt!$C$14&lt;&gt;'WK-Vorlagen'!$C$82),"",IF(ISERROR(MATCH(VALUE(MID(J640,1,2)),Schwierigkeitsstufen!$G$7:$G$19,0)),"Gerät falsch",LOOKUP(VALUE(MID(J640,1,2)),Schwierigkeitsstufen!$G$7:$G$19,Schwierigkeitsstufen!$H$7:$H$19)))</f>
        <v/>
      </c>
      <c r="AE640" s="211"/>
      <c r="AG640" s="221" t="str">
        <f t="shared" si="81"/>
        <v/>
      </c>
      <c r="AH640" s="222" t="str">
        <f t="shared" si="83"/>
        <v/>
      </c>
      <c r="AI640" s="220">
        <f t="shared" si="88"/>
        <v>4</v>
      </c>
      <c r="AJ640" s="222">
        <f t="shared" si="84"/>
        <v>0</v>
      </c>
      <c r="AK640" s="299" t="str">
        <f>IF(ISERROR(LOOKUP(E640,WKNrListe,Übersicht!$R$7:$R$46)),"-",LOOKUP(E640,WKNrListe,Übersicht!$R$7:$R$46))</f>
        <v>-</v>
      </c>
      <c r="AL640" s="299" t="str">
        <f t="shared" si="87"/>
        <v>-</v>
      </c>
      <c r="AM640" s="303"/>
      <c r="AN640" s="174" t="str">
        <f t="shared" si="89"/>
        <v>Leer</v>
      </c>
    </row>
    <row r="641" spans="1:40" s="174" customFormat="1" ht="15" customHeight="1">
      <c r="A641" s="63"/>
      <c r="B641" s="63"/>
      <c r="C641" s="84"/>
      <c r="D641" s="85"/>
      <c r="E641" s="62"/>
      <c r="F641" s="62"/>
      <c r="G641" s="62"/>
      <c r="H641" s="62"/>
      <c r="I641" s="62"/>
      <c r="J641" s="62"/>
      <c r="K641" s="62"/>
      <c r="L641" s="62"/>
      <c r="M641" s="62"/>
      <c r="N641" s="62"/>
      <c r="O641" s="62"/>
      <c r="P641" s="62"/>
      <c r="Q641" s="62"/>
      <c r="R641" s="62"/>
      <c r="S641" s="258"/>
      <c r="T641" s="248" t="str">
        <f t="shared" si="85"/>
        <v/>
      </c>
      <c r="U641" s="249" t="str">
        <f t="shared" si="86"/>
        <v/>
      </c>
      <c r="V641" s="294" t="str">
        <f t="shared" si="82"/>
        <v/>
      </c>
      <c r="W641" s="294" t="str">
        <f>IF(((E641="")+(F641="")),"",IF(VLOOKUP(F641,Mannschaften!$A$1:$B$54,2,FALSE)&lt;&gt;E641,"Reiter Mannschaften füllen",""))</f>
        <v/>
      </c>
      <c r="X641" s="248" t="str">
        <f>IF(ISBLANK(C641),"",IF((U641&gt;(LOOKUP(E641,WKNrListe,Übersicht!$O$7:$O$46)))+(U641&lt;(LOOKUP(E641,WKNrListe,Übersicht!$P$7:$P$46))),"JG falsch",""))</f>
        <v/>
      </c>
      <c r="Y641" s="255" t="str">
        <f>IF((A641="")*(B641=""),"",IF(ISERROR(MATCH(E641,WKNrListe,0)),"WK falsch",LOOKUP(E641,WKNrListe,Übersicht!$B$7:$B$46)))</f>
        <v/>
      </c>
      <c r="Z641" s="269" t="str">
        <f>IF(((AJ641=0)*(AH641&lt;&gt;"")*(AK641="-"))+((AJ641&lt;&gt;0)*(AH641&lt;&gt;"")*(AK641="-")),IF(AG641="X",Übersicht!$C$70,Übersicht!$C$69),"-")</f>
        <v>-</v>
      </c>
      <c r="AA641" s="252" t="str">
        <f>IF((($A641="")*($B641=""))+((MID($Y641,1,4)&lt;&gt;"Wahl")*(Deckblatt!$C$14='WK-Vorlagen'!$C$82))+(Deckblatt!$C$14&lt;&gt;'WK-Vorlagen'!$C$82),"",IF(ISERROR(MATCH(VALUE(MID(G641,1,2)),Schwierigkeitsstufen!$G$7:$G$19,0)),"Gerät falsch",LOOKUP(VALUE(MID(G641,1,2)),Schwierigkeitsstufen!$G$7:$G$19,Schwierigkeitsstufen!$H$7:$H$19)))</f>
        <v/>
      </c>
      <c r="AB641" s="250" t="str">
        <f>IF((($A641="")*($B641=""))+((MID($Y641,1,4)&lt;&gt;"Wahl")*(Deckblatt!$C$14='WK-Vorlagen'!$C$82))+(Deckblatt!$C$14&lt;&gt;'WK-Vorlagen'!$C$82),"",IF(ISERROR(MATCH(VALUE(MID(H641,1,2)),Schwierigkeitsstufen!$G$7:$G$19,0)),"Gerät falsch",LOOKUP(VALUE(MID(H641,1,2)),Schwierigkeitsstufen!$G$7:$G$19,Schwierigkeitsstufen!$H$7:$H$19)))</f>
        <v/>
      </c>
      <c r="AC641" s="250" t="str">
        <f>IF((($A641="")*($B641=""))+((MID($Y641,1,4)&lt;&gt;"Wahl")*(Deckblatt!$C$14='WK-Vorlagen'!$C$82))+(Deckblatt!$C$14&lt;&gt;'WK-Vorlagen'!$C$82),"",IF(ISERROR(MATCH(VALUE(MID(I641,1,2)),Schwierigkeitsstufen!$G$7:$G$19,0)),"Gerät falsch",LOOKUP(VALUE(MID(I641,1,2)),Schwierigkeitsstufen!$G$7:$G$19,Schwierigkeitsstufen!$H$7:$H$19)))</f>
        <v/>
      </c>
      <c r="AD641" s="251" t="str">
        <f>IF((($A641="")*($B641=""))+((MID($Y641,1,4)&lt;&gt;"Wahl")*(Deckblatt!$C$14='WK-Vorlagen'!$C$82))+(Deckblatt!$C$14&lt;&gt;'WK-Vorlagen'!$C$82),"",IF(ISERROR(MATCH(VALUE(MID(J641,1,2)),Schwierigkeitsstufen!$G$7:$G$19,0)),"Gerät falsch",LOOKUP(VALUE(MID(J641,1,2)),Schwierigkeitsstufen!$G$7:$G$19,Schwierigkeitsstufen!$H$7:$H$19)))</f>
        <v/>
      </c>
      <c r="AE641" s="211"/>
      <c r="AG641" s="221" t="str">
        <f t="shared" si="81"/>
        <v/>
      </c>
      <c r="AH641" s="222" t="str">
        <f t="shared" si="83"/>
        <v/>
      </c>
      <c r="AI641" s="220">
        <f t="shared" si="88"/>
        <v>4</v>
      </c>
      <c r="AJ641" s="222">
        <f t="shared" si="84"/>
        <v>0</v>
      </c>
      <c r="AK641" s="299" t="str">
        <f>IF(ISERROR(LOOKUP(E641,WKNrListe,Übersicht!$R$7:$R$46)),"-",LOOKUP(E641,WKNrListe,Übersicht!$R$7:$R$46))</f>
        <v>-</v>
      </c>
      <c r="AL641" s="299" t="str">
        <f t="shared" si="87"/>
        <v>-</v>
      </c>
      <c r="AM641" s="303"/>
      <c r="AN641" s="174" t="str">
        <f t="shared" si="89"/>
        <v>Leer</v>
      </c>
    </row>
    <row r="642" spans="1:40" s="174" customFormat="1" ht="15" customHeight="1">
      <c r="A642" s="63"/>
      <c r="B642" s="63"/>
      <c r="C642" s="84"/>
      <c r="D642" s="85"/>
      <c r="E642" s="62"/>
      <c r="F642" s="62"/>
      <c r="G642" s="62"/>
      <c r="H642" s="62"/>
      <c r="I642" s="62"/>
      <c r="J642" s="62"/>
      <c r="K642" s="62"/>
      <c r="L642" s="62"/>
      <c r="M642" s="62"/>
      <c r="N642" s="62"/>
      <c r="O642" s="62"/>
      <c r="P642" s="62"/>
      <c r="Q642" s="62"/>
      <c r="R642" s="62"/>
      <c r="S642" s="258"/>
      <c r="T642" s="248" t="str">
        <f t="shared" si="85"/>
        <v/>
      </c>
      <c r="U642" s="249" t="str">
        <f t="shared" si="86"/>
        <v/>
      </c>
      <c r="V642" s="294" t="str">
        <f t="shared" si="82"/>
        <v/>
      </c>
      <c r="W642" s="294" t="str">
        <f>IF(((E642="")+(F642="")),"",IF(VLOOKUP(F642,Mannschaften!$A$1:$B$54,2,FALSE)&lt;&gt;E642,"Reiter Mannschaften füllen",""))</f>
        <v/>
      </c>
      <c r="X642" s="248" t="str">
        <f>IF(ISBLANK(C642),"",IF((U642&gt;(LOOKUP(E642,WKNrListe,Übersicht!$O$7:$O$46)))+(U642&lt;(LOOKUP(E642,WKNrListe,Übersicht!$P$7:$P$46))),"JG falsch",""))</f>
        <v/>
      </c>
      <c r="Y642" s="255" t="str">
        <f>IF((A642="")*(B642=""),"",IF(ISERROR(MATCH(E642,WKNrListe,0)),"WK falsch",LOOKUP(E642,WKNrListe,Übersicht!$B$7:$B$46)))</f>
        <v/>
      </c>
      <c r="Z642" s="269" t="str">
        <f>IF(((AJ642=0)*(AH642&lt;&gt;"")*(AK642="-"))+((AJ642&lt;&gt;0)*(AH642&lt;&gt;"")*(AK642="-")),IF(AG642="X",Übersicht!$C$70,Übersicht!$C$69),"-")</f>
        <v>-</v>
      </c>
      <c r="AA642" s="252" t="str">
        <f>IF((($A642="")*($B642=""))+((MID($Y642,1,4)&lt;&gt;"Wahl")*(Deckblatt!$C$14='WK-Vorlagen'!$C$82))+(Deckblatt!$C$14&lt;&gt;'WK-Vorlagen'!$C$82),"",IF(ISERROR(MATCH(VALUE(MID(G642,1,2)),Schwierigkeitsstufen!$G$7:$G$19,0)),"Gerät falsch",LOOKUP(VALUE(MID(G642,1,2)),Schwierigkeitsstufen!$G$7:$G$19,Schwierigkeitsstufen!$H$7:$H$19)))</f>
        <v/>
      </c>
      <c r="AB642" s="250" t="str">
        <f>IF((($A642="")*($B642=""))+((MID($Y642,1,4)&lt;&gt;"Wahl")*(Deckblatt!$C$14='WK-Vorlagen'!$C$82))+(Deckblatt!$C$14&lt;&gt;'WK-Vorlagen'!$C$82),"",IF(ISERROR(MATCH(VALUE(MID(H642,1,2)),Schwierigkeitsstufen!$G$7:$G$19,0)),"Gerät falsch",LOOKUP(VALUE(MID(H642,1,2)),Schwierigkeitsstufen!$G$7:$G$19,Schwierigkeitsstufen!$H$7:$H$19)))</f>
        <v/>
      </c>
      <c r="AC642" s="250" t="str">
        <f>IF((($A642="")*($B642=""))+((MID($Y642,1,4)&lt;&gt;"Wahl")*(Deckblatt!$C$14='WK-Vorlagen'!$C$82))+(Deckblatt!$C$14&lt;&gt;'WK-Vorlagen'!$C$82),"",IF(ISERROR(MATCH(VALUE(MID(I642,1,2)),Schwierigkeitsstufen!$G$7:$G$19,0)),"Gerät falsch",LOOKUP(VALUE(MID(I642,1,2)),Schwierigkeitsstufen!$G$7:$G$19,Schwierigkeitsstufen!$H$7:$H$19)))</f>
        <v/>
      </c>
      <c r="AD642" s="251" t="str">
        <f>IF((($A642="")*($B642=""))+((MID($Y642,1,4)&lt;&gt;"Wahl")*(Deckblatt!$C$14='WK-Vorlagen'!$C$82))+(Deckblatt!$C$14&lt;&gt;'WK-Vorlagen'!$C$82),"",IF(ISERROR(MATCH(VALUE(MID(J642,1,2)),Schwierigkeitsstufen!$G$7:$G$19,0)),"Gerät falsch",LOOKUP(VALUE(MID(J642,1,2)),Schwierigkeitsstufen!$G$7:$G$19,Schwierigkeitsstufen!$H$7:$H$19)))</f>
        <v/>
      </c>
      <c r="AE642" s="211"/>
      <c r="AG642" s="221" t="str">
        <f t="shared" si="81"/>
        <v/>
      </c>
      <c r="AH642" s="222" t="str">
        <f t="shared" si="83"/>
        <v/>
      </c>
      <c r="AI642" s="220">
        <f t="shared" si="88"/>
        <v>4</v>
      </c>
      <c r="AJ642" s="222">
        <f t="shared" si="84"/>
        <v>0</v>
      </c>
      <c r="AK642" s="299" t="str">
        <f>IF(ISERROR(LOOKUP(E642,WKNrListe,Übersicht!$R$7:$R$46)),"-",LOOKUP(E642,WKNrListe,Übersicht!$R$7:$R$46))</f>
        <v>-</v>
      </c>
      <c r="AL642" s="299" t="str">
        <f t="shared" si="87"/>
        <v>-</v>
      </c>
      <c r="AM642" s="303"/>
      <c r="AN642" s="174" t="str">
        <f t="shared" si="89"/>
        <v>Leer</v>
      </c>
    </row>
    <row r="643" spans="1:40" s="174" customFormat="1" ht="15" customHeight="1">
      <c r="A643" s="63"/>
      <c r="B643" s="63"/>
      <c r="C643" s="84"/>
      <c r="D643" s="85"/>
      <c r="E643" s="62"/>
      <c r="F643" s="62"/>
      <c r="G643" s="62"/>
      <c r="H643" s="62"/>
      <c r="I643" s="62"/>
      <c r="J643" s="62"/>
      <c r="K643" s="62"/>
      <c r="L643" s="62"/>
      <c r="M643" s="62"/>
      <c r="N643" s="62"/>
      <c r="O643" s="62"/>
      <c r="P643" s="62"/>
      <c r="Q643" s="62"/>
      <c r="R643" s="62"/>
      <c r="S643" s="258"/>
      <c r="T643" s="248" t="str">
        <f t="shared" si="85"/>
        <v/>
      </c>
      <c r="U643" s="249" t="str">
        <f t="shared" si="86"/>
        <v/>
      </c>
      <c r="V643" s="294" t="str">
        <f t="shared" si="82"/>
        <v/>
      </c>
      <c r="W643" s="294" t="str">
        <f>IF(((E643="")+(F643="")),"",IF(VLOOKUP(F643,Mannschaften!$A$1:$B$54,2,FALSE)&lt;&gt;E643,"Reiter Mannschaften füllen",""))</f>
        <v/>
      </c>
      <c r="X643" s="248" t="str">
        <f>IF(ISBLANK(C643),"",IF((U643&gt;(LOOKUP(E643,WKNrListe,Übersicht!$O$7:$O$46)))+(U643&lt;(LOOKUP(E643,WKNrListe,Übersicht!$P$7:$P$46))),"JG falsch",""))</f>
        <v/>
      </c>
      <c r="Y643" s="255" t="str">
        <f>IF((A643="")*(B643=""),"",IF(ISERROR(MATCH(E643,WKNrListe,0)),"WK falsch",LOOKUP(E643,WKNrListe,Übersicht!$B$7:$B$46)))</f>
        <v/>
      </c>
      <c r="Z643" s="269" t="str">
        <f>IF(((AJ643=0)*(AH643&lt;&gt;"")*(AK643="-"))+((AJ643&lt;&gt;0)*(AH643&lt;&gt;"")*(AK643="-")),IF(AG643="X",Übersicht!$C$70,Übersicht!$C$69),"-")</f>
        <v>-</v>
      </c>
      <c r="AA643" s="252" t="str">
        <f>IF((($A643="")*($B643=""))+((MID($Y643,1,4)&lt;&gt;"Wahl")*(Deckblatt!$C$14='WK-Vorlagen'!$C$82))+(Deckblatt!$C$14&lt;&gt;'WK-Vorlagen'!$C$82),"",IF(ISERROR(MATCH(VALUE(MID(G643,1,2)),Schwierigkeitsstufen!$G$7:$G$19,0)),"Gerät falsch",LOOKUP(VALUE(MID(G643,1,2)),Schwierigkeitsstufen!$G$7:$G$19,Schwierigkeitsstufen!$H$7:$H$19)))</f>
        <v/>
      </c>
      <c r="AB643" s="250" t="str">
        <f>IF((($A643="")*($B643=""))+((MID($Y643,1,4)&lt;&gt;"Wahl")*(Deckblatt!$C$14='WK-Vorlagen'!$C$82))+(Deckblatt!$C$14&lt;&gt;'WK-Vorlagen'!$C$82),"",IF(ISERROR(MATCH(VALUE(MID(H643,1,2)),Schwierigkeitsstufen!$G$7:$G$19,0)),"Gerät falsch",LOOKUP(VALUE(MID(H643,1,2)),Schwierigkeitsstufen!$G$7:$G$19,Schwierigkeitsstufen!$H$7:$H$19)))</f>
        <v/>
      </c>
      <c r="AC643" s="250" t="str">
        <f>IF((($A643="")*($B643=""))+((MID($Y643,1,4)&lt;&gt;"Wahl")*(Deckblatt!$C$14='WK-Vorlagen'!$C$82))+(Deckblatt!$C$14&lt;&gt;'WK-Vorlagen'!$C$82),"",IF(ISERROR(MATCH(VALUE(MID(I643,1,2)),Schwierigkeitsstufen!$G$7:$G$19,0)),"Gerät falsch",LOOKUP(VALUE(MID(I643,1,2)),Schwierigkeitsstufen!$G$7:$G$19,Schwierigkeitsstufen!$H$7:$H$19)))</f>
        <v/>
      </c>
      <c r="AD643" s="251" t="str">
        <f>IF((($A643="")*($B643=""))+((MID($Y643,1,4)&lt;&gt;"Wahl")*(Deckblatt!$C$14='WK-Vorlagen'!$C$82))+(Deckblatt!$C$14&lt;&gt;'WK-Vorlagen'!$C$82),"",IF(ISERROR(MATCH(VALUE(MID(J643,1,2)),Schwierigkeitsstufen!$G$7:$G$19,0)),"Gerät falsch",LOOKUP(VALUE(MID(J643,1,2)),Schwierigkeitsstufen!$G$7:$G$19,Schwierigkeitsstufen!$H$7:$H$19)))</f>
        <v/>
      </c>
      <c r="AE643" s="211"/>
      <c r="AG643" s="221" t="str">
        <f t="shared" si="81"/>
        <v/>
      </c>
      <c r="AH643" s="222" t="str">
        <f t="shared" si="83"/>
        <v/>
      </c>
      <c r="AI643" s="220">
        <f t="shared" si="88"/>
        <v>4</v>
      </c>
      <c r="AJ643" s="222">
        <f t="shared" si="84"/>
        <v>0</v>
      </c>
      <c r="AK643" s="299" t="str">
        <f>IF(ISERROR(LOOKUP(E643,WKNrListe,Übersicht!$R$7:$R$46)),"-",LOOKUP(E643,WKNrListe,Übersicht!$R$7:$R$46))</f>
        <v>-</v>
      </c>
      <c r="AL643" s="299" t="str">
        <f t="shared" si="87"/>
        <v>-</v>
      </c>
      <c r="AM643" s="303"/>
      <c r="AN643" s="174" t="str">
        <f t="shared" si="89"/>
        <v>Leer</v>
      </c>
    </row>
    <row r="644" spans="1:40" s="174" customFormat="1" ht="15" customHeight="1">
      <c r="A644" s="63"/>
      <c r="B644" s="63"/>
      <c r="C644" s="84"/>
      <c r="D644" s="85"/>
      <c r="E644" s="62"/>
      <c r="F644" s="62"/>
      <c r="G644" s="62"/>
      <c r="H644" s="62"/>
      <c r="I644" s="62"/>
      <c r="J644" s="62"/>
      <c r="K644" s="62"/>
      <c r="L644" s="62"/>
      <c r="M644" s="62"/>
      <c r="N644" s="62"/>
      <c r="O644" s="62"/>
      <c r="P644" s="62"/>
      <c r="Q644" s="62"/>
      <c r="R644" s="62"/>
      <c r="S644" s="258"/>
      <c r="T644" s="248" t="str">
        <f t="shared" si="85"/>
        <v/>
      </c>
      <c r="U644" s="249" t="str">
        <f t="shared" si="86"/>
        <v/>
      </c>
      <c r="V644" s="294" t="str">
        <f t="shared" si="82"/>
        <v/>
      </c>
      <c r="W644" s="294" t="str">
        <f>IF(((E644="")+(F644="")),"",IF(VLOOKUP(F644,Mannschaften!$A$1:$B$54,2,FALSE)&lt;&gt;E644,"Reiter Mannschaften füllen",""))</f>
        <v/>
      </c>
      <c r="X644" s="248" t="str">
        <f>IF(ISBLANK(C644),"",IF((U644&gt;(LOOKUP(E644,WKNrListe,Übersicht!$O$7:$O$46)))+(U644&lt;(LOOKUP(E644,WKNrListe,Übersicht!$P$7:$P$46))),"JG falsch",""))</f>
        <v/>
      </c>
      <c r="Y644" s="255" t="str">
        <f>IF((A644="")*(B644=""),"",IF(ISERROR(MATCH(E644,WKNrListe,0)),"WK falsch",LOOKUP(E644,WKNrListe,Übersicht!$B$7:$B$46)))</f>
        <v/>
      </c>
      <c r="Z644" s="269" t="str">
        <f>IF(((AJ644=0)*(AH644&lt;&gt;"")*(AK644="-"))+((AJ644&lt;&gt;0)*(AH644&lt;&gt;"")*(AK644="-")),IF(AG644="X",Übersicht!$C$70,Übersicht!$C$69),"-")</f>
        <v>-</v>
      </c>
      <c r="AA644" s="252" t="str">
        <f>IF((($A644="")*($B644=""))+((MID($Y644,1,4)&lt;&gt;"Wahl")*(Deckblatt!$C$14='WK-Vorlagen'!$C$82))+(Deckblatt!$C$14&lt;&gt;'WK-Vorlagen'!$C$82),"",IF(ISERROR(MATCH(VALUE(MID(G644,1,2)),Schwierigkeitsstufen!$G$7:$G$19,0)),"Gerät falsch",LOOKUP(VALUE(MID(G644,1,2)),Schwierigkeitsstufen!$G$7:$G$19,Schwierigkeitsstufen!$H$7:$H$19)))</f>
        <v/>
      </c>
      <c r="AB644" s="250" t="str">
        <f>IF((($A644="")*($B644=""))+((MID($Y644,1,4)&lt;&gt;"Wahl")*(Deckblatt!$C$14='WK-Vorlagen'!$C$82))+(Deckblatt!$C$14&lt;&gt;'WK-Vorlagen'!$C$82),"",IF(ISERROR(MATCH(VALUE(MID(H644,1,2)),Schwierigkeitsstufen!$G$7:$G$19,0)),"Gerät falsch",LOOKUP(VALUE(MID(H644,1,2)),Schwierigkeitsstufen!$G$7:$G$19,Schwierigkeitsstufen!$H$7:$H$19)))</f>
        <v/>
      </c>
      <c r="AC644" s="250" t="str">
        <f>IF((($A644="")*($B644=""))+((MID($Y644,1,4)&lt;&gt;"Wahl")*(Deckblatt!$C$14='WK-Vorlagen'!$C$82))+(Deckblatt!$C$14&lt;&gt;'WK-Vorlagen'!$C$82),"",IF(ISERROR(MATCH(VALUE(MID(I644,1,2)),Schwierigkeitsstufen!$G$7:$G$19,0)),"Gerät falsch",LOOKUP(VALUE(MID(I644,1,2)),Schwierigkeitsstufen!$G$7:$G$19,Schwierigkeitsstufen!$H$7:$H$19)))</f>
        <v/>
      </c>
      <c r="AD644" s="251" t="str">
        <f>IF((($A644="")*($B644=""))+((MID($Y644,1,4)&lt;&gt;"Wahl")*(Deckblatt!$C$14='WK-Vorlagen'!$C$82))+(Deckblatt!$C$14&lt;&gt;'WK-Vorlagen'!$C$82),"",IF(ISERROR(MATCH(VALUE(MID(J644,1,2)),Schwierigkeitsstufen!$G$7:$G$19,0)),"Gerät falsch",LOOKUP(VALUE(MID(J644,1,2)),Schwierigkeitsstufen!$G$7:$G$19,Schwierigkeitsstufen!$H$7:$H$19)))</f>
        <v/>
      </c>
      <c r="AE644" s="211"/>
      <c r="AG644" s="221" t="str">
        <f t="shared" ref="AG644:AG707" si="90">IF((C644&lt;&gt;0),IF(((Jahr-U644)&gt;19)*(AJ644=0)*(AK644&lt;&gt;1),"X",IF(((Jahr-U644)&gt;19)*(AJ644=0),"J","-")),"")</f>
        <v/>
      </c>
      <c r="AH644" s="222" t="str">
        <f t="shared" si="83"/>
        <v/>
      </c>
      <c r="AI644" s="220">
        <f t="shared" si="88"/>
        <v>4</v>
      </c>
      <c r="AJ644" s="222">
        <f t="shared" si="84"/>
        <v>0</v>
      </c>
      <c r="AK644" s="299" t="str">
        <f>IF(ISERROR(LOOKUP(E644,WKNrListe,Übersicht!$R$7:$R$46)),"-",LOOKUP(E644,WKNrListe,Übersicht!$R$7:$R$46))</f>
        <v>-</v>
      </c>
      <c r="AL644" s="299" t="str">
        <f t="shared" si="87"/>
        <v>-</v>
      </c>
      <c r="AM644" s="303"/>
      <c r="AN644" s="174" t="str">
        <f t="shared" si="89"/>
        <v>Leer</v>
      </c>
    </row>
    <row r="645" spans="1:40" s="174" customFormat="1" ht="15" customHeight="1">
      <c r="A645" s="63"/>
      <c r="B645" s="63"/>
      <c r="C645" s="84"/>
      <c r="D645" s="85"/>
      <c r="E645" s="62"/>
      <c r="F645" s="62"/>
      <c r="G645" s="62"/>
      <c r="H645" s="62"/>
      <c r="I645" s="62"/>
      <c r="J645" s="62"/>
      <c r="K645" s="62"/>
      <c r="L645" s="62"/>
      <c r="M645" s="62"/>
      <c r="N645" s="62"/>
      <c r="O645" s="62"/>
      <c r="P645" s="62"/>
      <c r="Q645" s="62"/>
      <c r="R645" s="62"/>
      <c r="S645" s="258"/>
      <c r="T645" s="248" t="str">
        <f t="shared" si="85"/>
        <v/>
      </c>
      <c r="U645" s="249" t="str">
        <f t="shared" si="86"/>
        <v/>
      </c>
      <c r="V645" s="294" t="str">
        <f t="shared" ref="V645:V708" si="91">IF(((AK645="-")*(F645=""))+((AK645=1)*(F645&lt;&gt;""))+(Y645="WK falsch"),"",IF((AK645=1)*(F645=""),"Mannsch-Nr fehlt","Mannsch-Nr entf"))</f>
        <v/>
      </c>
      <c r="W645" s="294" t="str">
        <f>IF(((E645="")+(F645="")),"",IF(VLOOKUP(F645,Mannschaften!$A$1:$B$54,2,FALSE)&lt;&gt;E645,"Reiter Mannschaften füllen",""))</f>
        <v/>
      </c>
      <c r="X645" s="248" t="str">
        <f>IF(ISBLANK(C645),"",IF((U645&gt;(LOOKUP(E645,WKNrListe,Übersicht!$O$7:$O$46)))+(U645&lt;(LOOKUP(E645,WKNrListe,Übersicht!$P$7:$P$46))),"JG falsch",""))</f>
        <v/>
      </c>
      <c r="Y645" s="255" t="str">
        <f>IF((A645="")*(B645=""),"",IF(ISERROR(MATCH(E645,WKNrListe,0)),"WK falsch",LOOKUP(E645,WKNrListe,Übersicht!$B$7:$B$46)))</f>
        <v/>
      </c>
      <c r="Z645" s="269" t="str">
        <f>IF(((AJ645=0)*(AH645&lt;&gt;"")*(AK645="-"))+((AJ645&lt;&gt;0)*(AH645&lt;&gt;"")*(AK645="-")),IF(AG645="X",Übersicht!$C$70,Übersicht!$C$69),"-")</f>
        <v>-</v>
      </c>
      <c r="AA645" s="252" t="str">
        <f>IF((($A645="")*($B645=""))+((MID($Y645,1,4)&lt;&gt;"Wahl")*(Deckblatt!$C$14='WK-Vorlagen'!$C$82))+(Deckblatt!$C$14&lt;&gt;'WK-Vorlagen'!$C$82),"",IF(ISERROR(MATCH(VALUE(MID(G645,1,2)),Schwierigkeitsstufen!$G$7:$G$19,0)),"Gerät falsch",LOOKUP(VALUE(MID(G645,1,2)),Schwierigkeitsstufen!$G$7:$G$19,Schwierigkeitsstufen!$H$7:$H$19)))</f>
        <v/>
      </c>
      <c r="AB645" s="250" t="str">
        <f>IF((($A645="")*($B645=""))+((MID($Y645,1,4)&lt;&gt;"Wahl")*(Deckblatt!$C$14='WK-Vorlagen'!$C$82))+(Deckblatt!$C$14&lt;&gt;'WK-Vorlagen'!$C$82),"",IF(ISERROR(MATCH(VALUE(MID(H645,1,2)),Schwierigkeitsstufen!$G$7:$G$19,0)),"Gerät falsch",LOOKUP(VALUE(MID(H645,1,2)),Schwierigkeitsstufen!$G$7:$G$19,Schwierigkeitsstufen!$H$7:$H$19)))</f>
        <v/>
      </c>
      <c r="AC645" s="250" t="str">
        <f>IF((($A645="")*($B645=""))+((MID($Y645,1,4)&lt;&gt;"Wahl")*(Deckblatt!$C$14='WK-Vorlagen'!$C$82))+(Deckblatt!$C$14&lt;&gt;'WK-Vorlagen'!$C$82),"",IF(ISERROR(MATCH(VALUE(MID(I645,1,2)),Schwierigkeitsstufen!$G$7:$G$19,0)),"Gerät falsch",LOOKUP(VALUE(MID(I645,1,2)),Schwierigkeitsstufen!$G$7:$G$19,Schwierigkeitsstufen!$H$7:$H$19)))</f>
        <v/>
      </c>
      <c r="AD645" s="251" t="str">
        <f>IF((($A645="")*($B645=""))+((MID($Y645,1,4)&lt;&gt;"Wahl")*(Deckblatt!$C$14='WK-Vorlagen'!$C$82))+(Deckblatt!$C$14&lt;&gt;'WK-Vorlagen'!$C$82),"",IF(ISERROR(MATCH(VALUE(MID(J645,1,2)),Schwierigkeitsstufen!$G$7:$G$19,0)),"Gerät falsch",LOOKUP(VALUE(MID(J645,1,2)),Schwierigkeitsstufen!$G$7:$G$19,Schwierigkeitsstufen!$H$7:$H$19)))</f>
        <v/>
      </c>
      <c r="AE645" s="211"/>
      <c r="AG645" s="221" t="str">
        <f t="shared" si="90"/>
        <v/>
      </c>
      <c r="AH645" s="222" t="str">
        <f t="shared" ref="AH645:AH708" si="92">CONCATENATE(TRIM(A645),TRIM(B645),TRIM(C645))</f>
        <v/>
      </c>
      <c r="AI645" s="220">
        <f t="shared" si="88"/>
        <v>4</v>
      </c>
      <c r="AJ645" s="222">
        <f t="shared" ref="AJ645:AJ708" si="93">IF(AH645="",0,IF(ROW(AH645)=AI645,0,AI645))</f>
        <v>0</v>
      </c>
      <c r="AK645" s="299" t="str">
        <f>IF(ISERROR(LOOKUP(E645,WKNrListe,Übersicht!$R$7:$R$46)),"-",LOOKUP(E645,WKNrListe,Übersicht!$R$7:$R$46))</f>
        <v>-</v>
      </c>
      <c r="AL645" s="299" t="str">
        <f t="shared" si="87"/>
        <v>-</v>
      </c>
      <c r="AM645" s="303"/>
      <c r="AN645" s="174" t="str">
        <f t="shared" si="89"/>
        <v>Leer</v>
      </c>
    </row>
    <row r="646" spans="1:40" s="174" customFormat="1" ht="15" customHeight="1">
      <c r="A646" s="63"/>
      <c r="B646" s="63"/>
      <c r="C646" s="84"/>
      <c r="D646" s="85"/>
      <c r="E646" s="62"/>
      <c r="F646" s="62"/>
      <c r="G646" s="62"/>
      <c r="H646" s="62"/>
      <c r="I646" s="62"/>
      <c r="J646" s="62"/>
      <c r="K646" s="62"/>
      <c r="L646" s="62"/>
      <c r="M646" s="62"/>
      <c r="N646" s="62"/>
      <c r="O646" s="62"/>
      <c r="P646" s="62"/>
      <c r="Q646" s="62"/>
      <c r="R646" s="62"/>
      <c r="S646" s="258"/>
      <c r="T646" s="248" t="str">
        <f t="shared" ref="T646:T709" si="94">IF(AND(OR(ISTEXT(A646),ISTEXT(B646),NOT(ISBLANK(C646)),NOT(ISBLANK(D646)),NOT(ISBLANK(E646))),OR(ISBLANK(A646),ISBLANK(B646),ISBLANK(C646),ISBLANK(E646))),"unvollständig","")</f>
        <v/>
      </c>
      <c r="U646" s="249" t="str">
        <f t="shared" ref="U646:U709" si="95">IF(ISBLANK(C646),"",YEAR(C646))</f>
        <v/>
      </c>
      <c r="V646" s="294" t="str">
        <f t="shared" si="91"/>
        <v/>
      </c>
      <c r="W646" s="294" t="str">
        <f>IF(((E646="")+(F646="")),"",IF(VLOOKUP(F646,Mannschaften!$A$1:$B$54,2,FALSE)&lt;&gt;E646,"Reiter Mannschaften füllen",""))</f>
        <v/>
      </c>
      <c r="X646" s="248" t="str">
        <f>IF(ISBLANK(C646),"",IF((U646&gt;(LOOKUP(E646,WKNrListe,Übersicht!$O$7:$O$46)))+(U646&lt;(LOOKUP(E646,WKNrListe,Übersicht!$P$7:$P$46))),"JG falsch",""))</f>
        <v/>
      </c>
      <c r="Y646" s="255" t="str">
        <f>IF((A646="")*(B646=""),"",IF(ISERROR(MATCH(E646,WKNrListe,0)),"WK falsch",LOOKUP(E646,WKNrListe,Übersicht!$B$7:$B$46)))</f>
        <v/>
      </c>
      <c r="Z646" s="269" t="str">
        <f>IF(((AJ646=0)*(AH646&lt;&gt;"")*(AK646="-"))+((AJ646&lt;&gt;0)*(AH646&lt;&gt;"")*(AK646="-")),IF(AG646="X",Übersicht!$C$70,Übersicht!$C$69),"-")</f>
        <v>-</v>
      </c>
      <c r="AA646" s="252" t="str">
        <f>IF((($A646="")*($B646=""))+((MID($Y646,1,4)&lt;&gt;"Wahl")*(Deckblatt!$C$14='WK-Vorlagen'!$C$82))+(Deckblatt!$C$14&lt;&gt;'WK-Vorlagen'!$C$82),"",IF(ISERROR(MATCH(VALUE(MID(G646,1,2)),Schwierigkeitsstufen!$G$7:$G$19,0)),"Gerät falsch",LOOKUP(VALUE(MID(G646,1,2)),Schwierigkeitsstufen!$G$7:$G$19,Schwierigkeitsstufen!$H$7:$H$19)))</f>
        <v/>
      </c>
      <c r="AB646" s="250" t="str">
        <f>IF((($A646="")*($B646=""))+((MID($Y646,1,4)&lt;&gt;"Wahl")*(Deckblatt!$C$14='WK-Vorlagen'!$C$82))+(Deckblatt!$C$14&lt;&gt;'WK-Vorlagen'!$C$82),"",IF(ISERROR(MATCH(VALUE(MID(H646,1,2)),Schwierigkeitsstufen!$G$7:$G$19,0)),"Gerät falsch",LOOKUP(VALUE(MID(H646,1,2)),Schwierigkeitsstufen!$G$7:$G$19,Schwierigkeitsstufen!$H$7:$H$19)))</f>
        <v/>
      </c>
      <c r="AC646" s="250" t="str">
        <f>IF((($A646="")*($B646=""))+((MID($Y646,1,4)&lt;&gt;"Wahl")*(Deckblatt!$C$14='WK-Vorlagen'!$C$82))+(Deckblatt!$C$14&lt;&gt;'WK-Vorlagen'!$C$82),"",IF(ISERROR(MATCH(VALUE(MID(I646,1,2)),Schwierigkeitsstufen!$G$7:$G$19,0)),"Gerät falsch",LOOKUP(VALUE(MID(I646,1,2)),Schwierigkeitsstufen!$G$7:$G$19,Schwierigkeitsstufen!$H$7:$H$19)))</f>
        <v/>
      </c>
      <c r="AD646" s="251" t="str">
        <f>IF((($A646="")*($B646=""))+((MID($Y646,1,4)&lt;&gt;"Wahl")*(Deckblatt!$C$14='WK-Vorlagen'!$C$82))+(Deckblatt!$C$14&lt;&gt;'WK-Vorlagen'!$C$82),"",IF(ISERROR(MATCH(VALUE(MID(J646,1,2)),Schwierigkeitsstufen!$G$7:$G$19,0)),"Gerät falsch",LOOKUP(VALUE(MID(J646,1,2)),Schwierigkeitsstufen!$G$7:$G$19,Schwierigkeitsstufen!$H$7:$H$19)))</f>
        <v/>
      </c>
      <c r="AE646" s="211"/>
      <c r="AG646" s="221" t="str">
        <f t="shared" si="90"/>
        <v/>
      </c>
      <c r="AH646" s="222" t="str">
        <f t="shared" si="92"/>
        <v/>
      </c>
      <c r="AI646" s="220">
        <f t="shared" si="88"/>
        <v>4</v>
      </c>
      <c r="AJ646" s="222">
        <f t="shared" si="93"/>
        <v>0</v>
      </c>
      <c r="AK646" s="299" t="str">
        <f>IF(ISERROR(LOOKUP(E646,WKNrListe,Übersicht!$R$7:$R$46)),"-",LOOKUP(E646,WKNrListe,Übersicht!$R$7:$R$46))</f>
        <v>-</v>
      </c>
      <c r="AL646" s="299" t="str">
        <f t="shared" ref="AL646:AL709" si="96">IF(E646="","-",E646)</f>
        <v>-</v>
      </c>
      <c r="AM646" s="303"/>
      <c r="AN646" s="174" t="str">
        <f t="shared" si="89"/>
        <v>Leer</v>
      </c>
    </row>
    <row r="647" spans="1:40" s="174" customFormat="1" ht="15" customHeight="1">
      <c r="A647" s="63"/>
      <c r="B647" s="63"/>
      <c r="C647" s="84"/>
      <c r="D647" s="85"/>
      <c r="E647" s="62"/>
      <c r="F647" s="62"/>
      <c r="G647" s="62"/>
      <c r="H647" s="62"/>
      <c r="I647" s="62"/>
      <c r="J647" s="62"/>
      <c r="K647" s="62"/>
      <c r="L647" s="62"/>
      <c r="M647" s="62"/>
      <c r="N647" s="62"/>
      <c r="O647" s="62"/>
      <c r="P647" s="62"/>
      <c r="Q647" s="62"/>
      <c r="R647" s="62"/>
      <c r="S647" s="258"/>
      <c r="T647" s="248" t="str">
        <f t="shared" si="94"/>
        <v/>
      </c>
      <c r="U647" s="249" t="str">
        <f t="shared" si="95"/>
        <v/>
      </c>
      <c r="V647" s="294" t="str">
        <f t="shared" si="91"/>
        <v/>
      </c>
      <c r="W647" s="294" t="str">
        <f>IF(((E647="")+(F647="")),"",IF(VLOOKUP(F647,Mannschaften!$A$1:$B$54,2,FALSE)&lt;&gt;E647,"Reiter Mannschaften füllen",""))</f>
        <v/>
      </c>
      <c r="X647" s="248" t="str">
        <f>IF(ISBLANK(C647),"",IF((U647&gt;(LOOKUP(E647,WKNrListe,Übersicht!$O$7:$O$46)))+(U647&lt;(LOOKUP(E647,WKNrListe,Übersicht!$P$7:$P$46))),"JG falsch",""))</f>
        <v/>
      </c>
      <c r="Y647" s="255" t="str">
        <f>IF((A647="")*(B647=""),"",IF(ISERROR(MATCH(E647,WKNrListe,0)),"WK falsch",LOOKUP(E647,WKNrListe,Übersicht!$B$7:$B$46)))</f>
        <v/>
      </c>
      <c r="Z647" s="269" t="str">
        <f>IF(((AJ647=0)*(AH647&lt;&gt;"")*(AK647="-"))+((AJ647&lt;&gt;0)*(AH647&lt;&gt;"")*(AK647="-")),IF(AG647="X",Übersicht!$C$70,Übersicht!$C$69),"-")</f>
        <v>-</v>
      </c>
      <c r="AA647" s="252" t="str">
        <f>IF((($A647="")*($B647=""))+((MID($Y647,1,4)&lt;&gt;"Wahl")*(Deckblatt!$C$14='WK-Vorlagen'!$C$82))+(Deckblatt!$C$14&lt;&gt;'WK-Vorlagen'!$C$82),"",IF(ISERROR(MATCH(VALUE(MID(G647,1,2)),Schwierigkeitsstufen!$G$7:$G$19,0)),"Gerät falsch",LOOKUP(VALUE(MID(G647,1,2)),Schwierigkeitsstufen!$G$7:$G$19,Schwierigkeitsstufen!$H$7:$H$19)))</f>
        <v/>
      </c>
      <c r="AB647" s="250" t="str">
        <f>IF((($A647="")*($B647=""))+((MID($Y647,1,4)&lt;&gt;"Wahl")*(Deckblatt!$C$14='WK-Vorlagen'!$C$82))+(Deckblatt!$C$14&lt;&gt;'WK-Vorlagen'!$C$82),"",IF(ISERROR(MATCH(VALUE(MID(H647,1,2)),Schwierigkeitsstufen!$G$7:$G$19,0)),"Gerät falsch",LOOKUP(VALUE(MID(H647,1,2)),Schwierigkeitsstufen!$G$7:$G$19,Schwierigkeitsstufen!$H$7:$H$19)))</f>
        <v/>
      </c>
      <c r="AC647" s="250" t="str">
        <f>IF((($A647="")*($B647=""))+((MID($Y647,1,4)&lt;&gt;"Wahl")*(Deckblatt!$C$14='WK-Vorlagen'!$C$82))+(Deckblatt!$C$14&lt;&gt;'WK-Vorlagen'!$C$82),"",IF(ISERROR(MATCH(VALUE(MID(I647,1,2)),Schwierigkeitsstufen!$G$7:$G$19,0)),"Gerät falsch",LOOKUP(VALUE(MID(I647,1,2)),Schwierigkeitsstufen!$G$7:$G$19,Schwierigkeitsstufen!$H$7:$H$19)))</f>
        <v/>
      </c>
      <c r="AD647" s="251" t="str">
        <f>IF((($A647="")*($B647=""))+((MID($Y647,1,4)&lt;&gt;"Wahl")*(Deckblatt!$C$14='WK-Vorlagen'!$C$82))+(Deckblatt!$C$14&lt;&gt;'WK-Vorlagen'!$C$82),"",IF(ISERROR(MATCH(VALUE(MID(J647,1,2)),Schwierigkeitsstufen!$G$7:$G$19,0)),"Gerät falsch",LOOKUP(VALUE(MID(J647,1,2)),Schwierigkeitsstufen!$G$7:$G$19,Schwierigkeitsstufen!$H$7:$H$19)))</f>
        <v/>
      </c>
      <c r="AE647" s="211"/>
      <c r="AG647" s="221" t="str">
        <f t="shared" si="90"/>
        <v/>
      </c>
      <c r="AH647" s="222" t="str">
        <f t="shared" si="92"/>
        <v/>
      </c>
      <c r="AI647" s="220">
        <f t="shared" ref="AI647:AI710" si="97">MATCH(AH647,AH:AH,0)</f>
        <v>4</v>
      </c>
      <c r="AJ647" s="222">
        <f t="shared" si="93"/>
        <v>0</v>
      </c>
      <c r="AK647" s="299" t="str">
        <f>IF(ISERROR(LOOKUP(E647,WKNrListe,Übersicht!$R$7:$R$46)),"-",LOOKUP(E647,WKNrListe,Übersicht!$R$7:$R$46))</f>
        <v>-</v>
      </c>
      <c r="AL647" s="299" t="str">
        <f t="shared" si="96"/>
        <v>-</v>
      </c>
      <c r="AM647" s="303"/>
      <c r="AN647" s="174" t="str">
        <f t="shared" si="89"/>
        <v>Leer</v>
      </c>
    </row>
    <row r="648" spans="1:40" s="174" customFormat="1" ht="15" customHeight="1">
      <c r="A648" s="63"/>
      <c r="B648" s="63"/>
      <c r="C648" s="84"/>
      <c r="D648" s="85"/>
      <c r="E648" s="62"/>
      <c r="F648" s="62"/>
      <c r="G648" s="62"/>
      <c r="H648" s="62"/>
      <c r="I648" s="62"/>
      <c r="J648" s="62"/>
      <c r="K648" s="62"/>
      <c r="L648" s="62"/>
      <c r="M648" s="62"/>
      <c r="N648" s="62"/>
      <c r="O648" s="62"/>
      <c r="P648" s="62"/>
      <c r="Q648" s="62"/>
      <c r="R648" s="62"/>
      <c r="S648" s="258"/>
      <c r="T648" s="248" t="str">
        <f t="shared" si="94"/>
        <v/>
      </c>
      <c r="U648" s="249" t="str">
        <f t="shared" si="95"/>
        <v/>
      </c>
      <c r="V648" s="294" t="str">
        <f t="shared" si="91"/>
        <v/>
      </c>
      <c r="W648" s="294" t="str">
        <f>IF(((E648="")+(F648="")),"",IF(VLOOKUP(F648,Mannschaften!$A$1:$B$54,2,FALSE)&lt;&gt;E648,"Reiter Mannschaften füllen",""))</f>
        <v/>
      </c>
      <c r="X648" s="248" t="str">
        <f>IF(ISBLANK(C648),"",IF((U648&gt;(LOOKUP(E648,WKNrListe,Übersicht!$O$7:$O$46)))+(U648&lt;(LOOKUP(E648,WKNrListe,Übersicht!$P$7:$P$46))),"JG falsch",""))</f>
        <v/>
      </c>
      <c r="Y648" s="255" t="str">
        <f>IF((A648="")*(B648=""),"",IF(ISERROR(MATCH(E648,WKNrListe,0)),"WK falsch",LOOKUP(E648,WKNrListe,Übersicht!$B$7:$B$46)))</f>
        <v/>
      </c>
      <c r="Z648" s="269" t="str">
        <f>IF(((AJ648=0)*(AH648&lt;&gt;"")*(AK648="-"))+((AJ648&lt;&gt;0)*(AH648&lt;&gt;"")*(AK648="-")),IF(AG648="X",Übersicht!$C$70,Übersicht!$C$69),"-")</f>
        <v>-</v>
      </c>
      <c r="AA648" s="252" t="str">
        <f>IF((($A648="")*($B648=""))+((MID($Y648,1,4)&lt;&gt;"Wahl")*(Deckblatt!$C$14='WK-Vorlagen'!$C$82))+(Deckblatt!$C$14&lt;&gt;'WK-Vorlagen'!$C$82),"",IF(ISERROR(MATCH(VALUE(MID(G648,1,2)),Schwierigkeitsstufen!$G$7:$G$19,0)),"Gerät falsch",LOOKUP(VALUE(MID(G648,1,2)),Schwierigkeitsstufen!$G$7:$G$19,Schwierigkeitsstufen!$H$7:$H$19)))</f>
        <v/>
      </c>
      <c r="AB648" s="250" t="str">
        <f>IF((($A648="")*($B648=""))+((MID($Y648,1,4)&lt;&gt;"Wahl")*(Deckblatt!$C$14='WK-Vorlagen'!$C$82))+(Deckblatt!$C$14&lt;&gt;'WK-Vorlagen'!$C$82),"",IF(ISERROR(MATCH(VALUE(MID(H648,1,2)),Schwierigkeitsstufen!$G$7:$G$19,0)),"Gerät falsch",LOOKUP(VALUE(MID(H648,1,2)),Schwierigkeitsstufen!$G$7:$G$19,Schwierigkeitsstufen!$H$7:$H$19)))</f>
        <v/>
      </c>
      <c r="AC648" s="250" t="str">
        <f>IF((($A648="")*($B648=""))+((MID($Y648,1,4)&lt;&gt;"Wahl")*(Deckblatt!$C$14='WK-Vorlagen'!$C$82))+(Deckblatt!$C$14&lt;&gt;'WK-Vorlagen'!$C$82),"",IF(ISERROR(MATCH(VALUE(MID(I648,1,2)),Schwierigkeitsstufen!$G$7:$G$19,0)),"Gerät falsch",LOOKUP(VALUE(MID(I648,1,2)),Schwierigkeitsstufen!$G$7:$G$19,Schwierigkeitsstufen!$H$7:$H$19)))</f>
        <v/>
      </c>
      <c r="AD648" s="251" t="str">
        <f>IF((($A648="")*($B648=""))+((MID($Y648,1,4)&lt;&gt;"Wahl")*(Deckblatt!$C$14='WK-Vorlagen'!$C$82))+(Deckblatt!$C$14&lt;&gt;'WK-Vorlagen'!$C$82),"",IF(ISERROR(MATCH(VALUE(MID(J648,1,2)),Schwierigkeitsstufen!$G$7:$G$19,0)),"Gerät falsch",LOOKUP(VALUE(MID(J648,1,2)),Schwierigkeitsstufen!$G$7:$G$19,Schwierigkeitsstufen!$H$7:$H$19)))</f>
        <v/>
      </c>
      <c r="AE648" s="211"/>
      <c r="AG648" s="221" t="str">
        <f t="shared" si="90"/>
        <v/>
      </c>
      <c r="AH648" s="222" t="str">
        <f t="shared" si="92"/>
        <v/>
      </c>
      <c r="AI648" s="220">
        <f t="shared" si="97"/>
        <v>4</v>
      </c>
      <c r="AJ648" s="222">
        <f t="shared" si="93"/>
        <v>0</v>
      </c>
      <c r="AK648" s="299" t="str">
        <f>IF(ISERROR(LOOKUP(E648,WKNrListe,Übersicht!$R$7:$R$46)),"-",LOOKUP(E648,WKNrListe,Übersicht!$R$7:$R$46))</f>
        <v>-</v>
      </c>
      <c r="AL648" s="299" t="str">
        <f t="shared" si="96"/>
        <v>-</v>
      </c>
      <c r="AM648" s="303"/>
      <c r="AN648" s="174" t="str">
        <f t="shared" si="89"/>
        <v>Leer</v>
      </c>
    </row>
    <row r="649" spans="1:40" s="174" customFormat="1" ht="15" customHeight="1">
      <c r="A649" s="63"/>
      <c r="B649" s="63"/>
      <c r="C649" s="84"/>
      <c r="D649" s="85"/>
      <c r="E649" s="62"/>
      <c r="F649" s="62"/>
      <c r="G649" s="62"/>
      <c r="H649" s="62"/>
      <c r="I649" s="62"/>
      <c r="J649" s="62"/>
      <c r="K649" s="62"/>
      <c r="L649" s="62"/>
      <c r="M649" s="62"/>
      <c r="N649" s="62"/>
      <c r="O649" s="62"/>
      <c r="P649" s="62"/>
      <c r="Q649" s="62"/>
      <c r="R649" s="62"/>
      <c r="S649" s="258"/>
      <c r="T649" s="248" t="str">
        <f t="shared" si="94"/>
        <v/>
      </c>
      <c r="U649" s="249" t="str">
        <f t="shared" si="95"/>
        <v/>
      </c>
      <c r="V649" s="294" t="str">
        <f t="shared" si="91"/>
        <v/>
      </c>
      <c r="W649" s="294" t="str">
        <f>IF(((E649="")+(F649="")),"",IF(VLOOKUP(F649,Mannschaften!$A$1:$B$54,2,FALSE)&lt;&gt;E649,"Reiter Mannschaften füllen",""))</f>
        <v/>
      </c>
      <c r="X649" s="248" t="str">
        <f>IF(ISBLANK(C649),"",IF((U649&gt;(LOOKUP(E649,WKNrListe,Übersicht!$O$7:$O$46)))+(U649&lt;(LOOKUP(E649,WKNrListe,Übersicht!$P$7:$P$46))),"JG falsch",""))</f>
        <v/>
      </c>
      <c r="Y649" s="255" t="str">
        <f>IF((A649="")*(B649=""),"",IF(ISERROR(MATCH(E649,WKNrListe,0)),"WK falsch",LOOKUP(E649,WKNrListe,Übersicht!$B$7:$B$46)))</f>
        <v/>
      </c>
      <c r="Z649" s="269" t="str">
        <f>IF(((AJ649=0)*(AH649&lt;&gt;"")*(AK649="-"))+((AJ649&lt;&gt;0)*(AH649&lt;&gt;"")*(AK649="-")),IF(AG649="X",Übersicht!$C$70,Übersicht!$C$69),"-")</f>
        <v>-</v>
      </c>
      <c r="AA649" s="252" t="str">
        <f>IF((($A649="")*($B649=""))+((MID($Y649,1,4)&lt;&gt;"Wahl")*(Deckblatt!$C$14='WK-Vorlagen'!$C$82))+(Deckblatt!$C$14&lt;&gt;'WK-Vorlagen'!$C$82),"",IF(ISERROR(MATCH(VALUE(MID(G649,1,2)),Schwierigkeitsstufen!$G$7:$G$19,0)),"Gerät falsch",LOOKUP(VALUE(MID(G649,1,2)),Schwierigkeitsstufen!$G$7:$G$19,Schwierigkeitsstufen!$H$7:$H$19)))</f>
        <v/>
      </c>
      <c r="AB649" s="250" t="str">
        <f>IF((($A649="")*($B649=""))+((MID($Y649,1,4)&lt;&gt;"Wahl")*(Deckblatt!$C$14='WK-Vorlagen'!$C$82))+(Deckblatt!$C$14&lt;&gt;'WK-Vorlagen'!$C$82),"",IF(ISERROR(MATCH(VALUE(MID(H649,1,2)),Schwierigkeitsstufen!$G$7:$G$19,0)),"Gerät falsch",LOOKUP(VALUE(MID(H649,1,2)),Schwierigkeitsstufen!$G$7:$G$19,Schwierigkeitsstufen!$H$7:$H$19)))</f>
        <v/>
      </c>
      <c r="AC649" s="250" t="str">
        <f>IF((($A649="")*($B649=""))+((MID($Y649,1,4)&lt;&gt;"Wahl")*(Deckblatt!$C$14='WK-Vorlagen'!$C$82))+(Deckblatt!$C$14&lt;&gt;'WK-Vorlagen'!$C$82),"",IF(ISERROR(MATCH(VALUE(MID(I649,1,2)),Schwierigkeitsstufen!$G$7:$G$19,0)),"Gerät falsch",LOOKUP(VALUE(MID(I649,1,2)),Schwierigkeitsstufen!$G$7:$G$19,Schwierigkeitsstufen!$H$7:$H$19)))</f>
        <v/>
      </c>
      <c r="AD649" s="251" t="str">
        <f>IF((($A649="")*($B649=""))+((MID($Y649,1,4)&lt;&gt;"Wahl")*(Deckblatt!$C$14='WK-Vorlagen'!$C$82))+(Deckblatt!$C$14&lt;&gt;'WK-Vorlagen'!$C$82),"",IF(ISERROR(MATCH(VALUE(MID(J649,1,2)),Schwierigkeitsstufen!$G$7:$G$19,0)),"Gerät falsch",LOOKUP(VALUE(MID(J649,1,2)),Schwierigkeitsstufen!$G$7:$G$19,Schwierigkeitsstufen!$H$7:$H$19)))</f>
        <v/>
      </c>
      <c r="AE649" s="211"/>
      <c r="AG649" s="221" t="str">
        <f t="shared" si="90"/>
        <v/>
      </c>
      <c r="AH649" s="222" t="str">
        <f t="shared" si="92"/>
        <v/>
      </c>
      <c r="AI649" s="220">
        <f t="shared" si="97"/>
        <v>4</v>
      </c>
      <c r="AJ649" s="222">
        <f t="shared" si="93"/>
        <v>0</v>
      </c>
      <c r="AK649" s="299" t="str">
        <f>IF(ISERROR(LOOKUP(E649,WKNrListe,Übersicht!$R$7:$R$46)),"-",LOOKUP(E649,WKNrListe,Übersicht!$R$7:$R$46))</f>
        <v>-</v>
      </c>
      <c r="AL649" s="299" t="str">
        <f t="shared" si="96"/>
        <v>-</v>
      </c>
      <c r="AM649" s="303"/>
      <c r="AN649" s="174" t="str">
        <f t="shared" si="89"/>
        <v>Leer</v>
      </c>
    </row>
    <row r="650" spans="1:40" s="174" customFormat="1" ht="15" customHeight="1">
      <c r="A650" s="63"/>
      <c r="B650" s="63"/>
      <c r="C650" s="84"/>
      <c r="D650" s="85"/>
      <c r="E650" s="62"/>
      <c r="F650" s="62"/>
      <c r="G650" s="62"/>
      <c r="H650" s="62"/>
      <c r="I650" s="62"/>
      <c r="J650" s="62"/>
      <c r="K650" s="62"/>
      <c r="L650" s="62"/>
      <c r="M650" s="62"/>
      <c r="N650" s="62"/>
      <c r="O650" s="62"/>
      <c r="P650" s="62"/>
      <c r="Q650" s="62"/>
      <c r="R650" s="62"/>
      <c r="S650" s="258"/>
      <c r="T650" s="248" t="str">
        <f t="shared" si="94"/>
        <v/>
      </c>
      <c r="U650" s="249" t="str">
        <f t="shared" si="95"/>
        <v/>
      </c>
      <c r="V650" s="294" t="str">
        <f t="shared" si="91"/>
        <v/>
      </c>
      <c r="W650" s="294" t="str">
        <f>IF(((E650="")+(F650="")),"",IF(VLOOKUP(F650,Mannschaften!$A$1:$B$54,2,FALSE)&lt;&gt;E650,"Reiter Mannschaften füllen",""))</f>
        <v/>
      </c>
      <c r="X650" s="248" t="str">
        <f>IF(ISBLANK(C650),"",IF((U650&gt;(LOOKUP(E650,WKNrListe,Übersicht!$O$7:$O$46)))+(U650&lt;(LOOKUP(E650,WKNrListe,Übersicht!$P$7:$P$46))),"JG falsch",""))</f>
        <v/>
      </c>
      <c r="Y650" s="255" t="str">
        <f>IF((A650="")*(B650=""),"",IF(ISERROR(MATCH(E650,WKNrListe,0)),"WK falsch",LOOKUP(E650,WKNrListe,Übersicht!$B$7:$B$46)))</f>
        <v/>
      </c>
      <c r="Z650" s="269" t="str">
        <f>IF(((AJ650=0)*(AH650&lt;&gt;"")*(AK650="-"))+((AJ650&lt;&gt;0)*(AH650&lt;&gt;"")*(AK650="-")),IF(AG650="X",Übersicht!$C$70,Übersicht!$C$69),"-")</f>
        <v>-</v>
      </c>
      <c r="AA650" s="252" t="str">
        <f>IF((($A650="")*($B650=""))+((MID($Y650,1,4)&lt;&gt;"Wahl")*(Deckblatt!$C$14='WK-Vorlagen'!$C$82))+(Deckblatt!$C$14&lt;&gt;'WK-Vorlagen'!$C$82),"",IF(ISERROR(MATCH(VALUE(MID(G650,1,2)),Schwierigkeitsstufen!$G$7:$G$19,0)),"Gerät falsch",LOOKUP(VALUE(MID(G650,1,2)),Schwierigkeitsstufen!$G$7:$G$19,Schwierigkeitsstufen!$H$7:$H$19)))</f>
        <v/>
      </c>
      <c r="AB650" s="250" t="str">
        <f>IF((($A650="")*($B650=""))+((MID($Y650,1,4)&lt;&gt;"Wahl")*(Deckblatt!$C$14='WK-Vorlagen'!$C$82))+(Deckblatt!$C$14&lt;&gt;'WK-Vorlagen'!$C$82),"",IF(ISERROR(MATCH(VALUE(MID(H650,1,2)),Schwierigkeitsstufen!$G$7:$G$19,0)),"Gerät falsch",LOOKUP(VALUE(MID(H650,1,2)),Schwierigkeitsstufen!$G$7:$G$19,Schwierigkeitsstufen!$H$7:$H$19)))</f>
        <v/>
      </c>
      <c r="AC650" s="250" t="str">
        <f>IF((($A650="")*($B650=""))+((MID($Y650,1,4)&lt;&gt;"Wahl")*(Deckblatt!$C$14='WK-Vorlagen'!$C$82))+(Deckblatt!$C$14&lt;&gt;'WK-Vorlagen'!$C$82),"",IF(ISERROR(MATCH(VALUE(MID(I650,1,2)),Schwierigkeitsstufen!$G$7:$G$19,0)),"Gerät falsch",LOOKUP(VALUE(MID(I650,1,2)),Schwierigkeitsstufen!$G$7:$G$19,Schwierigkeitsstufen!$H$7:$H$19)))</f>
        <v/>
      </c>
      <c r="AD650" s="251" t="str">
        <f>IF((($A650="")*($B650=""))+((MID($Y650,1,4)&lt;&gt;"Wahl")*(Deckblatt!$C$14='WK-Vorlagen'!$C$82))+(Deckblatt!$C$14&lt;&gt;'WK-Vorlagen'!$C$82),"",IF(ISERROR(MATCH(VALUE(MID(J650,1,2)),Schwierigkeitsstufen!$G$7:$G$19,0)),"Gerät falsch",LOOKUP(VALUE(MID(J650,1,2)),Schwierigkeitsstufen!$G$7:$G$19,Schwierigkeitsstufen!$H$7:$H$19)))</f>
        <v/>
      </c>
      <c r="AE650" s="211"/>
      <c r="AG650" s="221" t="str">
        <f t="shared" si="90"/>
        <v/>
      </c>
      <c r="AH650" s="222" t="str">
        <f t="shared" si="92"/>
        <v/>
      </c>
      <c r="AI650" s="220">
        <f t="shared" si="97"/>
        <v>4</v>
      </c>
      <c r="AJ650" s="222">
        <f t="shared" si="93"/>
        <v>0</v>
      </c>
      <c r="AK650" s="299" t="str">
        <f>IF(ISERROR(LOOKUP(E650,WKNrListe,Übersicht!$R$7:$R$46)),"-",LOOKUP(E650,WKNrListe,Übersicht!$R$7:$R$46))</f>
        <v>-</v>
      </c>
      <c r="AL650" s="299" t="str">
        <f t="shared" si="96"/>
        <v>-</v>
      </c>
      <c r="AM650" s="303"/>
      <c r="AN650" s="174" t="str">
        <f t="shared" si="89"/>
        <v>Leer</v>
      </c>
    </row>
    <row r="651" spans="1:40" s="174" customFormat="1" ht="15" customHeight="1">
      <c r="A651" s="63"/>
      <c r="B651" s="63"/>
      <c r="C651" s="84"/>
      <c r="D651" s="85"/>
      <c r="E651" s="62"/>
      <c r="F651" s="62"/>
      <c r="G651" s="62"/>
      <c r="H651" s="62"/>
      <c r="I651" s="62"/>
      <c r="J651" s="62"/>
      <c r="K651" s="62"/>
      <c r="L651" s="62"/>
      <c r="M651" s="62"/>
      <c r="N651" s="62"/>
      <c r="O651" s="62"/>
      <c r="P651" s="62"/>
      <c r="Q651" s="62"/>
      <c r="R651" s="62"/>
      <c r="S651" s="258"/>
      <c r="T651" s="248" t="str">
        <f t="shared" si="94"/>
        <v/>
      </c>
      <c r="U651" s="249" t="str">
        <f t="shared" si="95"/>
        <v/>
      </c>
      <c r="V651" s="294" t="str">
        <f t="shared" si="91"/>
        <v/>
      </c>
      <c r="W651" s="294" t="str">
        <f>IF(((E651="")+(F651="")),"",IF(VLOOKUP(F651,Mannschaften!$A$1:$B$54,2,FALSE)&lt;&gt;E651,"Reiter Mannschaften füllen",""))</f>
        <v/>
      </c>
      <c r="X651" s="248" t="str">
        <f>IF(ISBLANK(C651),"",IF((U651&gt;(LOOKUP(E651,WKNrListe,Übersicht!$O$7:$O$46)))+(U651&lt;(LOOKUP(E651,WKNrListe,Übersicht!$P$7:$P$46))),"JG falsch",""))</f>
        <v/>
      </c>
      <c r="Y651" s="255" t="str">
        <f>IF((A651="")*(B651=""),"",IF(ISERROR(MATCH(E651,WKNrListe,0)),"WK falsch",LOOKUP(E651,WKNrListe,Übersicht!$B$7:$B$46)))</f>
        <v/>
      </c>
      <c r="Z651" s="269" t="str">
        <f>IF(((AJ651=0)*(AH651&lt;&gt;"")*(AK651="-"))+((AJ651&lt;&gt;0)*(AH651&lt;&gt;"")*(AK651="-")),IF(AG651="X",Übersicht!$C$70,Übersicht!$C$69),"-")</f>
        <v>-</v>
      </c>
      <c r="AA651" s="252" t="str">
        <f>IF((($A651="")*($B651=""))+((MID($Y651,1,4)&lt;&gt;"Wahl")*(Deckblatt!$C$14='WK-Vorlagen'!$C$82))+(Deckblatt!$C$14&lt;&gt;'WK-Vorlagen'!$C$82),"",IF(ISERROR(MATCH(VALUE(MID(G651,1,2)),Schwierigkeitsstufen!$G$7:$G$19,0)),"Gerät falsch",LOOKUP(VALUE(MID(G651,1,2)),Schwierigkeitsstufen!$G$7:$G$19,Schwierigkeitsstufen!$H$7:$H$19)))</f>
        <v/>
      </c>
      <c r="AB651" s="250" t="str">
        <f>IF((($A651="")*($B651=""))+((MID($Y651,1,4)&lt;&gt;"Wahl")*(Deckblatt!$C$14='WK-Vorlagen'!$C$82))+(Deckblatt!$C$14&lt;&gt;'WK-Vorlagen'!$C$82),"",IF(ISERROR(MATCH(VALUE(MID(H651,1,2)),Schwierigkeitsstufen!$G$7:$G$19,0)),"Gerät falsch",LOOKUP(VALUE(MID(H651,1,2)),Schwierigkeitsstufen!$G$7:$G$19,Schwierigkeitsstufen!$H$7:$H$19)))</f>
        <v/>
      </c>
      <c r="AC651" s="250" t="str">
        <f>IF((($A651="")*($B651=""))+((MID($Y651,1,4)&lt;&gt;"Wahl")*(Deckblatt!$C$14='WK-Vorlagen'!$C$82))+(Deckblatt!$C$14&lt;&gt;'WK-Vorlagen'!$C$82),"",IF(ISERROR(MATCH(VALUE(MID(I651,1,2)),Schwierigkeitsstufen!$G$7:$G$19,0)),"Gerät falsch",LOOKUP(VALUE(MID(I651,1,2)),Schwierigkeitsstufen!$G$7:$G$19,Schwierigkeitsstufen!$H$7:$H$19)))</f>
        <v/>
      </c>
      <c r="AD651" s="251" t="str">
        <f>IF((($A651="")*($B651=""))+((MID($Y651,1,4)&lt;&gt;"Wahl")*(Deckblatt!$C$14='WK-Vorlagen'!$C$82))+(Deckblatt!$C$14&lt;&gt;'WK-Vorlagen'!$C$82),"",IF(ISERROR(MATCH(VALUE(MID(J651,1,2)),Schwierigkeitsstufen!$G$7:$G$19,0)),"Gerät falsch",LOOKUP(VALUE(MID(J651,1,2)),Schwierigkeitsstufen!$G$7:$G$19,Schwierigkeitsstufen!$H$7:$H$19)))</f>
        <v/>
      </c>
      <c r="AE651" s="211"/>
      <c r="AG651" s="221" t="str">
        <f t="shared" si="90"/>
        <v/>
      </c>
      <c r="AH651" s="222" t="str">
        <f t="shared" si="92"/>
        <v/>
      </c>
      <c r="AI651" s="220">
        <f t="shared" si="97"/>
        <v>4</v>
      </c>
      <c r="AJ651" s="222">
        <f t="shared" si="93"/>
        <v>0</v>
      </c>
      <c r="AK651" s="299" t="str">
        <f>IF(ISERROR(LOOKUP(E651,WKNrListe,Übersicht!$R$7:$R$46)),"-",LOOKUP(E651,WKNrListe,Übersicht!$R$7:$R$46))</f>
        <v>-</v>
      </c>
      <c r="AL651" s="299" t="str">
        <f t="shared" si="96"/>
        <v>-</v>
      </c>
      <c r="AM651" s="303"/>
      <c r="AN651" s="174" t="str">
        <f t="shared" si="89"/>
        <v>Leer</v>
      </c>
    </row>
    <row r="652" spans="1:40" s="174" customFormat="1" ht="15" customHeight="1">
      <c r="A652" s="63"/>
      <c r="B652" s="63"/>
      <c r="C652" s="84"/>
      <c r="D652" s="85"/>
      <c r="E652" s="62"/>
      <c r="F652" s="62"/>
      <c r="G652" s="62"/>
      <c r="H652" s="62"/>
      <c r="I652" s="62"/>
      <c r="J652" s="62"/>
      <c r="K652" s="62"/>
      <c r="L652" s="62"/>
      <c r="M652" s="62"/>
      <c r="N652" s="62"/>
      <c r="O652" s="62"/>
      <c r="P652" s="62"/>
      <c r="Q652" s="62"/>
      <c r="R652" s="62"/>
      <c r="S652" s="258"/>
      <c r="T652" s="248" t="str">
        <f t="shared" si="94"/>
        <v/>
      </c>
      <c r="U652" s="249" t="str">
        <f t="shared" si="95"/>
        <v/>
      </c>
      <c r="V652" s="294" t="str">
        <f t="shared" si="91"/>
        <v/>
      </c>
      <c r="W652" s="294" t="str">
        <f>IF(((E652="")+(F652="")),"",IF(VLOOKUP(F652,Mannschaften!$A$1:$B$54,2,FALSE)&lt;&gt;E652,"Reiter Mannschaften füllen",""))</f>
        <v/>
      </c>
      <c r="X652" s="248" t="str">
        <f>IF(ISBLANK(C652),"",IF((U652&gt;(LOOKUP(E652,WKNrListe,Übersicht!$O$7:$O$46)))+(U652&lt;(LOOKUP(E652,WKNrListe,Übersicht!$P$7:$P$46))),"JG falsch",""))</f>
        <v/>
      </c>
      <c r="Y652" s="255" t="str">
        <f>IF((A652="")*(B652=""),"",IF(ISERROR(MATCH(E652,WKNrListe,0)),"WK falsch",LOOKUP(E652,WKNrListe,Übersicht!$B$7:$B$46)))</f>
        <v/>
      </c>
      <c r="Z652" s="269" t="str">
        <f>IF(((AJ652=0)*(AH652&lt;&gt;"")*(AK652="-"))+((AJ652&lt;&gt;0)*(AH652&lt;&gt;"")*(AK652="-")),IF(AG652="X",Übersicht!$C$70,Übersicht!$C$69),"-")</f>
        <v>-</v>
      </c>
      <c r="AA652" s="252" t="str">
        <f>IF((($A652="")*($B652=""))+((MID($Y652,1,4)&lt;&gt;"Wahl")*(Deckblatt!$C$14='WK-Vorlagen'!$C$82))+(Deckblatt!$C$14&lt;&gt;'WK-Vorlagen'!$C$82),"",IF(ISERROR(MATCH(VALUE(MID(G652,1,2)),Schwierigkeitsstufen!$G$7:$G$19,0)),"Gerät falsch",LOOKUP(VALUE(MID(G652,1,2)),Schwierigkeitsstufen!$G$7:$G$19,Schwierigkeitsstufen!$H$7:$H$19)))</f>
        <v/>
      </c>
      <c r="AB652" s="250" t="str">
        <f>IF((($A652="")*($B652=""))+((MID($Y652,1,4)&lt;&gt;"Wahl")*(Deckblatt!$C$14='WK-Vorlagen'!$C$82))+(Deckblatt!$C$14&lt;&gt;'WK-Vorlagen'!$C$82),"",IF(ISERROR(MATCH(VALUE(MID(H652,1,2)),Schwierigkeitsstufen!$G$7:$G$19,0)),"Gerät falsch",LOOKUP(VALUE(MID(H652,1,2)),Schwierigkeitsstufen!$G$7:$G$19,Schwierigkeitsstufen!$H$7:$H$19)))</f>
        <v/>
      </c>
      <c r="AC652" s="250" t="str">
        <f>IF((($A652="")*($B652=""))+((MID($Y652,1,4)&lt;&gt;"Wahl")*(Deckblatt!$C$14='WK-Vorlagen'!$C$82))+(Deckblatt!$C$14&lt;&gt;'WK-Vorlagen'!$C$82),"",IF(ISERROR(MATCH(VALUE(MID(I652,1,2)),Schwierigkeitsstufen!$G$7:$G$19,0)),"Gerät falsch",LOOKUP(VALUE(MID(I652,1,2)),Schwierigkeitsstufen!$G$7:$G$19,Schwierigkeitsstufen!$H$7:$H$19)))</f>
        <v/>
      </c>
      <c r="AD652" s="251" t="str">
        <f>IF((($A652="")*($B652=""))+((MID($Y652,1,4)&lt;&gt;"Wahl")*(Deckblatt!$C$14='WK-Vorlagen'!$C$82))+(Deckblatt!$C$14&lt;&gt;'WK-Vorlagen'!$C$82),"",IF(ISERROR(MATCH(VALUE(MID(J652,1,2)),Schwierigkeitsstufen!$G$7:$G$19,0)),"Gerät falsch",LOOKUP(VALUE(MID(J652,1,2)),Schwierigkeitsstufen!$G$7:$G$19,Schwierigkeitsstufen!$H$7:$H$19)))</f>
        <v/>
      </c>
      <c r="AE652" s="211"/>
      <c r="AG652" s="221" t="str">
        <f t="shared" si="90"/>
        <v/>
      </c>
      <c r="AH652" s="222" t="str">
        <f t="shared" si="92"/>
        <v/>
      </c>
      <c r="AI652" s="220">
        <f t="shared" si="97"/>
        <v>4</v>
      </c>
      <c r="AJ652" s="222">
        <f t="shared" si="93"/>
        <v>0</v>
      </c>
      <c r="AK652" s="299" t="str">
        <f>IF(ISERROR(LOOKUP(E652,WKNrListe,Übersicht!$R$7:$R$46)),"-",LOOKUP(E652,WKNrListe,Übersicht!$R$7:$R$46))</f>
        <v>-</v>
      </c>
      <c r="AL652" s="299" t="str">
        <f t="shared" si="96"/>
        <v>-</v>
      </c>
      <c r="AM652" s="303"/>
      <c r="AN652" s="174" t="str">
        <f t="shared" si="89"/>
        <v>Leer</v>
      </c>
    </row>
    <row r="653" spans="1:40" s="174" customFormat="1" ht="15" customHeight="1">
      <c r="A653" s="63"/>
      <c r="B653" s="63"/>
      <c r="C653" s="84"/>
      <c r="D653" s="85"/>
      <c r="E653" s="62"/>
      <c r="F653" s="62"/>
      <c r="G653" s="62"/>
      <c r="H653" s="62"/>
      <c r="I653" s="62"/>
      <c r="J653" s="62"/>
      <c r="K653" s="62"/>
      <c r="L653" s="62"/>
      <c r="M653" s="62"/>
      <c r="N653" s="62"/>
      <c r="O653" s="62"/>
      <c r="P653" s="62"/>
      <c r="Q653" s="62"/>
      <c r="R653" s="62"/>
      <c r="S653" s="258"/>
      <c r="T653" s="248" t="str">
        <f t="shared" si="94"/>
        <v/>
      </c>
      <c r="U653" s="249" t="str">
        <f t="shared" si="95"/>
        <v/>
      </c>
      <c r="V653" s="294" t="str">
        <f t="shared" si="91"/>
        <v/>
      </c>
      <c r="W653" s="294" t="str">
        <f>IF(((E653="")+(F653="")),"",IF(VLOOKUP(F653,Mannschaften!$A$1:$B$54,2,FALSE)&lt;&gt;E653,"Reiter Mannschaften füllen",""))</f>
        <v/>
      </c>
      <c r="X653" s="248" t="str">
        <f>IF(ISBLANK(C653),"",IF((U653&gt;(LOOKUP(E653,WKNrListe,Übersicht!$O$7:$O$46)))+(U653&lt;(LOOKUP(E653,WKNrListe,Übersicht!$P$7:$P$46))),"JG falsch",""))</f>
        <v/>
      </c>
      <c r="Y653" s="255" t="str">
        <f>IF((A653="")*(B653=""),"",IF(ISERROR(MATCH(E653,WKNrListe,0)),"WK falsch",LOOKUP(E653,WKNrListe,Übersicht!$B$7:$B$46)))</f>
        <v/>
      </c>
      <c r="Z653" s="269" t="str">
        <f>IF(((AJ653=0)*(AH653&lt;&gt;"")*(AK653="-"))+((AJ653&lt;&gt;0)*(AH653&lt;&gt;"")*(AK653="-")),IF(AG653="X",Übersicht!$C$70,Übersicht!$C$69),"-")</f>
        <v>-</v>
      </c>
      <c r="AA653" s="252" t="str">
        <f>IF((($A653="")*($B653=""))+((MID($Y653,1,4)&lt;&gt;"Wahl")*(Deckblatt!$C$14='WK-Vorlagen'!$C$82))+(Deckblatt!$C$14&lt;&gt;'WK-Vorlagen'!$C$82),"",IF(ISERROR(MATCH(VALUE(MID(G653,1,2)),Schwierigkeitsstufen!$G$7:$G$19,0)),"Gerät falsch",LOOKUP(VALUE(MID(G653,1,2)),Schwierigkeitsstufen!$G$7:$G$19,Schwierigkeitsstufen!$H$7:$H$19)))</f>
        <v/>
      </c>
      <c r="AB653" s="250" t="str">
        <f>IF((($A653="")*($B653=""))+((MID($Y653,1,4)&lt;&gt;"Wahl")*(Deckblatt!$C$14='WK-Vorlagen'!$C$82))+(Deckblatt!$C$14&lt;&gt;'WK-Vorlagen'!$C$82),"",IF(ISERROR(MATCH(VALUE(MID(H653,1,2)),Schwierigkeitsstufen!$G$7:$G$19,0)),"Gerät falsch",LOOKUP(VALUE(MID(H653,1,2)),Schwierigkeitsstufen!$G$7:$G$19,Schwierigkeitsstufen!$H$7:$H$19)))</f>
        <v/>
      </c>
      <c r="AC653" s="250" t="str">
        <f>IF((($A653="")*($B653=""))+((MID($Y653,1,4)&lt;&gt;"Wahl")*(Deckblatt!$C$14='WK-Vorlagen'!$C$82))+(Deckblatt!$C$14&lt;&gt;'WK-Vorlagen'!$C$82),"",IF(ISERROR(MATCH(VALUE(MID(I653,1,2)),Schwierigkeitsstufen!$G$7:$G$19,0)),"Gerät falsch",LOOKUP(VALUE(MID(I653,1,2)),Schwierigkeitsstufen!$G$7:$G$19,Schwierigkeitsstufen!$H$7:$H$19)))</f>
        <v/>
      </c>
      <c r="AD653" s="251" t="str">
        <f>IF((($A653="")*($B653=""))+((MID($Y653,1,4)&lt;&gt;"Wahl")*(Deckblatt!$C$14='WK-Vorlagen'!$C$82))+(Deckblatt!$C$14&lt;&gt;'WK-Vorlagen'!$C$82),"",IF(ISERROR(MATCH(VALUE(MID(J653,1,2)),Schwierigkeitsstufen!$G$7:$G$19,0)),"Gerät falsch",LOOKUP(VALUE(MID(J653,1,2)),Schwierigkeitsstufen!$G$7:$G$19,Schwierigkeitsstufen!$H$7:$H$19)))</f>
        <v/>
      </c>
      <c r="AE653" s="211"/>
      <c r="AG653" s="221" t="str">
        <f t="shared" si="90"/>
        <v/>
      </c>
      <c r="AH653" s="222" t="str">
        <f t="shared" si="92"/>
        <v/>
      </c>
      <c r="AI653" s="220">
        <f t="shared" si="97"/>
        <v>4</v>
      </c>
      <c r="AJ653" s="222">
        <f t="shared" si="93"/>
        <v>0</v>
      </c>
      <c r="AK653" s="299" t="str">
        <f>IF(ISERROR(LOOKUP(E653,WKNrListe,Übersicht!$R$7:$R$46)),"-",LOOKUP(E653,WKNrListe,Übersicht!$R$7:$R$46))</f>
        <v>-</v>
      </c>
      <c r="AL653" s="299" t="str">
        <f t="shared" si="96"/>
        <v>-</v>
      </c>
      <c r="AM653" s="303"/>
      <c r="AN653" s="174" t="str">
        <f t="shared" si="89"/>
        <v>Leer</v>
      </c>
    </row>
    <row r="654" spans="1:40" s="174" customFormat="1" ht="15" customHeight="1">
      <c r="A654" s="63"/>
      <c r="B654" s="63"/>
      <c r="C654" s="84"/>
      <c r="D654" s="85"/>
      <c r="E654" s="62"/>
      <c r="F654" s="62"/>
      <c r="G654" s="62"/>
      <c r="H654" s="62"/>
      <c r="I654" s="62"/>
      <c r="J654" s="62"/>
      <c r="K654" s="62"/>
      <c r="L654" s="62"/>
      <c r="M654" s="62"/>
      <c r="N654" s="62"/>
      <c r="O654" s="62"/>
      <c r="P654" s="62"/>
      <c r="Q654" s="62"/>
      <c r="R654" s="62"/>
      <c r="S654" s="258"/>
      <c r="T654" s="248" t="str">
        <f t="shared" si="94"/>
        <v/>
      </c>
      <c r="U654" s="249" t="str">
        <f t="shared" si="95"/>
        <v/>
      </c>
      <c r="V654" s="294" t="str">
        <f t="shared" si="91"/>
        <v/>
      </c>
      <c r="W654" s="294" t="str">
        <f>IF(((E654="")+(F654="")),"",IF(VLOOKUP(F654,Mannschaften!$A$1:$B$54,2,FALSE)&lt;&gt;E654,"Reiter Mannschaften füllen",""))</f>
        <v/>
      </c>
      <c r="X654" s="248" t="str">
        <f>IF(ISBLANK(C654),"",IF((U654&gt;(LOOKUP(E654,WKNrListe,Übersicht!$O$7:$O$46)))+(U654&lt;(LOOKUP(E654,WKNrListe,Übersicht!$P$7:$P$46))),"JG falsch",""))</f>
        <v/>
      </c>
      <c r="Y654" s="255" t="str">
        <f>IF((A654="")*(B654=""),"",IF(ISERROR(MATCH(E654,WKNrListe,0)),"WK falsch",LOOKUP(E654,WKNrListe,Übersicht!$B$7:$B$46)))</f>
        <v/>
      </c>
      <c r="Z654" s="269" t="str">
        <f>IF(((AJ654=0)*(AH654&lt;&gt;"")*(AK654="-"))+((AJ654&lt;&gt;0)*(AH654&lt;&gt;"")*(AK654="-")),IF(AG654="X",Übersicht!$C$70,Übersicht!$C$69),"-")</f>
        <v>-</v>
      </c>
      <c r="AA654" s="252" t="str">
        <f>IF((($A654="")*($B654=""))+((MID($Y654,1,4)&lt;&gt;"Wahl")*(Deckblatt!$C$14='WK-Vorlagen'!$C$82))+(Deckblatt!$C$14&lt;&gt;'WK-Vorlagen'!$C$82),"",IF(ISERROR(MATCH(VALUE(MID(G654,1,2)),Schwierigkeitsstufen!$G$7:$G$19,0)),"Gerät falsch",LOOKUP(VALUE(MID(G654,1,2)),Schwierigkeitsstufen!$G$7:$G$19,Schwierigkeitsstufen!$H$7:$H$19)))</f>
        <v/>
      </c>
      <c r="AB654" s="250" t="str">
        <f>IF((($A654="")*($B654=""))+((MID($Y654,1,4)&lt;&gt;"Wahl")*(Deckblatt!$C$14='WK-Vorlagen'!$C$82))+(Deckblatt!$C$14&lt;&gt;'WK-Vorlagen'!$C$82),"",IF(ISERROR(MATCH(VALUE(MID(H654,1,2)),Schwierigkeitsstufen!$G$7:$G$19,0)),"Gerät falsch",LOOKUP(VALUE(MID(H654,1,2)),Schwierigkeitsstufen!$G$7:$G$19,Schwierigkeitsstufen!$H$7:$H$19)))</f>
        <v/>
      </c>
      <c r="AC654" s="250" t="str">
        <f>IF((($A654="")*($B654=""))+((MID($Y654,1,4)&lt;&gt;"Wahl")*(Deckblatt!$C$14='WK-Vorlagen'!$C$82))+(Deckblatt!$C$14&lt;&gt;'WK-Vorlagen'!$C$82),"",IF(ISERROR(MATCH(VALUE(MID(I654,1,2)),Schwierigkeitsstufen!$G$7:$G$19,0)),"Gerät falsch",LOOKUP(VALUE(MID(I654,1,2)),Schwierigkeitsstufen!$G$7:$G$19,Schwierigkeitsstufen!$H$7:$H$19)))</f>
        <v/>
      </c>
      <c r="AD654" s="251" t="str">
        <f>IF((($A654="")*($B654=""))+((MID($Y654,1,4)&lt;&gt;"Wahl")*(Deckblatt!$C$14='WK-Vorlagen'!$C$82))+(Deckblatt!$C$14&lt;&gt;'WK-Vorlagen'!$C$82),"",IF(ISERROR(MATCH(VALUE(MID(J654,1,2)),Schwierigkeitsstufen!$G$7:$G$19,0)),"Gerät falsch",LOOKUP(VALUE(MID(J654,1,2)),Schwierigkeitsstufen!$G$7:$G$19,Schwierigkeitsstufen!$H$7:$H$19)))</f>
        <v/>
      </c>
      <c r="AE654" s="211"/>
      <c r="AG654" s="221" t="str">
        <f t="shared" si="90"/>
        <v/>
      </c>
      <c r="AH654" s="222" t="str">
        <f t="shared" si="92"/>
        <v/>
      </c>
      <c r="AI654" s="220">
        <f t="shared" si="97"/>
        <v>4</v>
      </c>
      <c r="AJ654" s="222">
        <f t="shared" si="93"/>
        <v>0</v>
      </c>
      <c r="AK654" s="299" t="str">
        <f>IF(ISERROR(LOOKUP(E654,WKNrListe,Übersicht!$R$7:$R$46)),"-",LOOKUP(E654,WKNrListe,Übersicht!$R$7:$R$46))</f>
        <v>-</v>
      </c>
      <c r="AL654" s="299" t="str">
        <f t="shared" si="96"/>
        <v>-</v>
      </c>
      <c r="AM654" s="303"/>
      <c r="AN654" s="174" t="str">
        <f t="shared" si="89"/>
        <v>Leer</v>
      </c>
    </row>
    <row r="655" spans="1:40" s="174" customFormat="1" ht="15" customHeight="1">
      <c r="A655" s="63"/>
      <c r="B655" s="63"/>
      <c r="C655" s="84"/>
      <c r="D655" s="85"/>
      <c r="E655" s="62"/>
      <c r="F655" s="62"/>
      <c r="G655" s="62"/>
      <c r="H655" s="62"/>
      <c r="I655" s="62"/>
      <c r="J655" s="62"/>
      <c r="K655" s="62"/>
      <c r="L655" s="62"/>
      <c r="M655" s="62"/>
      <c r="N655" s="62"/>
      <c r="O655" s="62"/>
      <c r="P655" s="62"/>
      <c r="Q655" s="62"/>
      <c r="R655" s="62"/>
      <c r="S655" s="258"/>
      <c r="T655" s="248" t="str">
        <f t="shared" si="94"/>
        <v/>
      </c>
      <c r="U655" s="249" t="str">
        <f t="shared" si="95"/>
        <v/>
      </c>
      <c r="V655" s="294" t="str">
        <f t="shared" si="91"/>
        <v/>
      </c>
      <c r="W655" s="294" t="str">
        <f>IF(((E655="")+(F655="")),"",IF(VLOOKUP(F655,Mannschaften!$A$1:$B$54,2,FALSE)&lt;&gt;E655,"Reiter Mannschaften füllen",""))</f>
        <v/>
      </c>
      <c r="X655" s="248" t="str">
        <f>IF(ISBLANK(C655),"",IF((U655&gt;(LOOKUP(E655,WKNrListe,Übersicht!$O$7:$O$46)))+(U655&lt;(LOOKUP(E655,WKNrListe,Übersicht!$P$7:$P$46))),"JG falsch",""))</f>
        <v/>
      </c>
      <c r="Y655" s="255" t="str">
        <f>IF((A655="")*(B655=""),"",IF(ISERROR(MATCH(E655,WKNrListe,0)),"WK falsch",LOOKUP(E655,WKNrListe,Übersicht!$B$7:$B$46)))</f>
        <v/>
      </c>
      <c r="Z655" s="269" t="str">
        <f>IF(((AJ655=0)*(AH655&lt;&gt;"")*(AK655="-"))+((AJ655&lt;&gt;0)*(AH655&lt;&gt;"")*(AK655="-")),IF(AG655="X",Übersicht!$C$70,Übersicht!$C$69),"-")</f>
        <v>-</v>
      </c>
      <c r="AA655" s="252" t="str">
        <f>IF((($A655="")*($B655=""))+((MID($Y655,1,4)&lt;&gt;"Wahl")*(Deckblatt!$C$14='WK-Vorlagen'!$C$82))+(Deckblatt!$C$14&lt;&gt;'WK-Vorlagen'!$C$82),"",IF(ISERROR(MATCH(VALUE(MID(G655,1,2)),Schwierigkeitsstufen!$G$7:$G$19,0)),"Gerät falsch",LOOKUP(VALUE(MID(G655,1,2)),Schwierigkeitsstufen!$G$7:$G$19,Schwierigkeitsstufen!$H$7:$H$19)))</f>
        <v/>
      </c>
      <c r="AB655" s="250" t="str">
        <f>IF((($A655="")*($B655=""))+((MID($Y655,1,4)&lt;&gt;"Wahl")*(Deckblatt!$C$14='WK-Vorlagen'!$C$82))+(Deckblatt!$C$14&lt;&gt;'WK-Vorlagen'!$C$82),"",IF(ISERROR(MATCH(VALUE(MID(H655,1,2)),Schwierigkeitsstufen!$G$7:$G$19,0)),"Gerät falsch",LOOKUP(VALUE(MID(H655,1,2)),Schwierigkeitsstufen!$G$7:$G$19,Schwierigkeitsstufen!$H$7:$H$19)))</f>
        <v/>
      </c>
      <c r="AC655" s="250" t="str">
        <f>IF((($A655="")*($B655=""))+((MID($Y655,1,4)&lt;&gt;"Wahl")*(Deckblatt!$C$14='WK-Vorlagen'!$C$82))+(Deckblatt!$C$14&lt;&gt;'WK-Vorlagen'!$C$82),"",IF(ISERROR(MATCH(VALUE(MID(I655,1,2)),Schwierigkeitsstufen!$G$7:$G$19,0)),"Gerät falsch",LOOKUP(VALUE(MID(I655,1,2)),Schwierigkeitsstufen!$G$7:$G$19,Schwierigkeitsstufen!$H$7:$H$19)))</f>
        <v/>
      </c>
      <c r="AD655" s="251" t="str">
        <f>IF((($A655="")*($B655=""))+((MID($Y655,1,4)&lt;&gt;"Wahl")*(Deckblatt!$C$14='WK-Vorlagen'!$C$82))+(Deckblatt!$C$14&lt;&gt;'WK-Vorlagen'!$C$82),"",IF(ISERROR(MATCH(VALUE(MID(J655,1,2)),Schwierigkeitsstufen!$G$7:$G$19,0)),"Gerät falsch",LOOKUP(VALUE(MID(J655,1,2)),Schwierigkeitsstufen!$G$7:$G$19,Schwierigkeitsstufen!$H$7:$H$19)))</f>
        <v/>
      </c>
      <c r="AE655" s="211"/>
      <c r="AG655" s="221" t="str">
        <f t="shared" si="90"/>
        <v/>
      </c>
      <c r="AH655" s="222" t="str">
        <f t="shared" si="92"/>
        <v/>
      </c>
      <c r="AI655" s="220">
        <f t="shared" si="97"/>
        <v>4</v>
      </c>
      <c r="AJ655" s="222">
        <f t="shared" si="93"/>
        <v>0</v>
      </c>
      <c r="AK655" s="299" t="str">
        <f>IF(ISERROR(LOOKUP(E655,WKNrListe,Übersicht!$R$7:$R$46)),"-",LOOKUP(E655,WKNrListe,Übersicht!$R$7:$R$46))</f>
        <v>-</v>
      </c>
      <c r="AL655" s="299" t="str">
        <f t="shared" si="96"/>
        <v>-</v>
      </c>
      <c r="AM655" s="303"/>
      <c r="AN655" s="174" t="str">
        <f t="shared" si="89"/>
        <v>Leer</v>
      </c>
    </row>
    <row r="656" spans="1:40" s="174" customFormat="1" ht="15" customHeight="1">
      <c r="A656" s="63"/>
      <c r="B656" s="63"/>
      <c r="C656" s="84"/>
      <c r="D656" s="85"/>
      <c r="E656" s="62"/>
      <c r="F656" s="62"/>
      <c r="G656" s="62"/>
      <c r="H656" s="62"/>
      <c r="I656" s="62"/>
      <c r="J656" s="62"/>
      <c r="K656" s="62"/>
      <c r="L656" s="62"/>
      <c r="M656" s="62"/>
      <c r="N656" s="62"/>
      <c r="O656" s="62"/>
      <c r="P656" s="62"/>
      <c r="Q656" s="62"/>
      <c r="R656" s="62"/>
      <c r="S656" s="258"/>
      <c r="T656" s="248" t="str">
        <f t="shared" si="94"/>
        <v/>
      </c>
      <c r="U656" s="249" t="str">
        <f t="shared" si="95"/>
        <v/>
      </c>
      <c r="V656" s="294" t="str">
        <f t="shared" si="91"/>
        <v/>
      </c>
      <c r="W656" s="294" t="str">
        <f>IF(((E656="")+(F656="")),"",IF(VLOOKUP(F656,Mannschaften!$A$1:$B$54,2,FALSE)&lt;&gt;E656,"Reiter Mannschaften füllen",""))</f>
        <v/>
      </c>
      <c r="X656" s="248" t="str">
        <f>IF(ISBLANK(C656),"",IF((U656&gt;(LOOKUP(E656,WKNrListe,Übersicht!$O$7:$O$46)))+(U656&lt;(LOOKUP(E656,WKNrListe,Übersicht!$P$7:$P$46))),"JG falsch",""))</f>
        <v/>
      </c>
      <c r="Y656" s="255" t="str">
        <f>IF((A656="")*(B656=""),"",IF(ISERROR(MATCH(E656,WKNrListe,0)),"WK falsch",LOOKUP(E656,WKNrListe,Übersicht!$B$7:$B$46)))</f>
        <v/>
      </c>
      <c r="Z656" s="269" t="str">
        <f>IF(((AJ656=0)*(AH656&lt;&gt;"")*(AK656="-"))+((AJ656&lt;&gt;0)*(AH656&lt;&gt;"")*(AK656="-")),IF(AG656="X",Übersicht!$C$70,Übersicht!$C$69),"-")</f>
        <v>-</v>
      </c>
      <c r="AA656" s="252" t="str">
        <f>IF((($A656="")*($B656=""))+((MID($Y656,1,4)&lt;&gt;"Wahl")*(Deckblatt!$C$14='WK-Vorlagen'!$C$82))+(Deckblatt!$C$14&lt;&gt;'WK-Vorlagen'!$C$82),"",IF(ISERROR(MATCH(VALUE(MID(G656,1,2)),Schwierigkeitsstufen!$G$7:$G$19,0)),"Gerät falsch",LOOKUP(VALUE(MID(G656,1,2)),Schwierigkeitsstufen!$G$7:$G$19,Schwierigkeitsstufen!$H$7:$H$19)))</f>
        <v/>
      </c>
      <c r="AB656" s="250" t="str">
        <f>IF((($A656="")*($B656=""))+((MID($Y656,1,4)&lt;&gt;"Wahl")*(Deckblatt!$C$14='WK-Vorlagen'!$C$82))+(Deckblatt!$C$14&lt;&gt;'WK-Vorlagen'!$C$82),"",IF(ISERROR(MATCH(VALUE(MID(H656,1,2)),Schwierigkeitsstufen!$G$7:$G$19,0)),"Gerät falsch",LOOKUP(VALUE(MID(H656,1,2)),Schwierigkeitsstufen!$G$7:$G$19,Schwierigkeitsstufen!$H$7:$H$19)))</f>
        <v/>
      </c>
      <c r="AC656" s="250" t="str">
        <f>IF((($A656="")*($B656=""))+((MID($Y656,1,4)&lt;&gt;"Wahl")*(Deckblatt!$C$14='WK-Vorlagen'!$C$82))+(Deckblatt!$C$14&lt;&gt;'WK-Vorlagen'!$C$82),"",IF(ISERROR(MATCH(VALUE(MID(I656,1,2)),Schwierigkeitsstufen!$G$7:$G$19,0)),"Gerät falsch",LOOKUP(VALUE(MID(I656,1,2)),Schwierigkeitsstufen!$G$7:$G$19,Schwierigkeitsstufen!$H$7:$H$19)))</f>
        <v/>
      </c>
      <c r="AD656" s="251" t="str">
        <f>IF((($A656="")*($B656=""))+((MID($Y656,1,4)&lt;&gt;"Wahl")*(Deckblatt!$C$14='WK-Vorlagen'!$C$82))+(Deckblatt!$C$14&lt;&gt;'WK-Vorlagen'!$C$82),"",IF(ISERROR(MATCH(VALUE(MID(J656,1,2)),Schwierigkeitsstufen!$G$7:$G$19,0)),"Gerät falsch",LOOKUP(VALUE(MID(J656,1,2)),Schwierigkeitsstufen!$G$7:$G$19,Schwierigkeitsstufen!$H$7:$H$19)))</f>
        <v/>
      </c>
      <c r="AE656" s="211"/>
      <c r="AG656" s="221" t="str">
        <f t="shared" si="90"/>
        <v/>
      </c>
      <c r="AH656" s="222" t="str">
        <f t="shared" si="92"/>
        <v/>
      </c>
      <c r="AI656" s="220">
        <f t="shared" si="97"/>
        <v>4</v>
      </c>
      <c r="AJ656" s="222">
        <f t="shared" si="93"/>
        <v>0</v>
      </c>
      <c r="AK656" s="299" t="str">
        <f>IF(ISERROR(LOOKUP(E656,WKNrListe,Übersicht!$R$7:$R$46)),"-",LOOKUP(E656,WKNrListe,Übersicht!$R$7:$R$46))</f>
        <v>-</v>
      </c>
      <c r="AL656" s="299" t="str">
        <f t="shared" si="96"/>
        <v>-</v>
      </c>
      <c r="AM656" s="303"/>
      <c r="AN656" s="174" t="str">
        <f t="shared" si="89"/>
        <v>Leer</v>
      </c>
    </row>
    <row r="657" spans="1:40" s="174" customFormat="1" ht="15" customHeight="1">
      <c r="A657" s="63"/>
      <c r="B657" s="63"/>
      <c r="C657" s="84"/>
      <c r="D657" s="85"/>
      <c r="E657" s="62"/>
      <c r="F657" s="62"/>
      <c r="G657" s="62"/>
      <c r="H657" s="62"/>
      <c r="I657" s="62"/>
      <c r="J657" s="62"/>
      <c r="K657" s="62"/>
      <c r="L657" s="62"/>
      <c r="M657" s="62"/>
      <c r="N657" s="62"/>
      <c r="O657" s="62"/>
      <c r="P657" s="62"/>
      <c r="Q657" s="62"/>
      <c r="R657" s="62"/>
      <c r="S657" s="258"/>
      <c r="T657" s="248" t="str">
        <f t="shared" si="94"/>
        <v/>
      </c>
      <c r="U657" s="249" t="str">
        <f t="shared" si="95"/>
        <v/>
      </c>
      <c r="V657" s="294" t="str">
        <f t="shared" si="91"/>
        <v/>
      </c>
      <c r="W657" s="294" t="str">
        <f>IF(((E657="")+(F657="")),"",IF(VLOOKUP(F657,Mannschaften!$A$1:$B$54,2,FALSE)&lt;&gt;E657,"Reiter Mannschaften füllen",""))</f>
        <v/>
      </c>
      <c r="X657" s="248" t="str">
        <f>IF(ISBLANK(C657),"",IF((U657&gt;(LOOKUP(E657,WKNrListe,Übersicht!$O$7:$O$46)))+(U657&lt;(LOOKUP(E657,WKNrListe,Übersicht!$P$7:$P$46))),"JG falsch",""))</f>
        <v/>
      </c>
      <c r="Y657" s="255" t="str">
        <f>IF((A657="")*(B657=""),"",IF(ISERROR(MATCH(E657,WKNrListe,0)),"WK falsch",LOOKUP(E657,WKNrListe,Übersicht!$B$7:$B$46)))</f>
        <v/>
      </c>
      <c r="Z657" s="269" t="str">
        <f>IF(((AJ657=0)*(AH657&lt;&gt;"")*(AK657="-"))+((AJ657&lt;&gt;0)*(AH657&lt;&gt;"")*(AK657="-")),IF(AG657="X",Übersicht!$C$70,Übersicht!$C$69),"-")</f>
        <v>-</v>
      </c>
      <c r="AA657" s="252" t="str">
        <f>IF((($A657="")*($B657=""))+((MID($Y657,1,4)&lt;&gt;"Wahl")*(Deckblatt!$C$14='WK-Vorlagen'!$C$82))+(Deckblatt!$C$14&lt;&gt;'WK-Vorlagen'!$C$82),"",IF(ISERROR(MATCH(VALUE(MID(G657,1,2)),Schwierigkeitsstufen!$G$7:$G$19,0)),"Gerät falsch",LOOKUP(VALUE(MID(G657,1,2)),Schwierigkeitsstufen!$G$7:$G$19,Schwierigkeitsstufen!$H$7:$H$19)))</f>
        <v/>
      </c>
      <c r="AB657" s="250" t="str">
        <f>IF((($A657="")*($B657=""))+((MID($Y657,1,4)&lt;&gt;"Wahl")*(Deckblatt!$C$14='WK-Vorlagen'!$C$82))+(Deckblatt!$C$14&lt;&gt;'WK-Vorlagen'!$C$82),"",IF(ISERROR(MATCH(VALUE(MID(H657,1,2)),Schwierigkeitsstufen!$G$7:$G$19,0)),"Gerät falsch",LOOKUP(VALUE(MID(H657,1,2)),Schwierigkeitsstufen!$G$7:$G$19,Schwierigkeitsstufen!$H$7:$H$19)))</f>
        <v/>
      </c>
      <c r="AC657" s="250" t="str">
        <f>IF((($A657="")*($B657=""))+((MID($Y657,1,4)&lt;&gt;"Wahl")*(Deckblatt!$C$14='WK-Vorlagen'!$C$82))+(Deckblatt!$C$14&lt;&gt;'WK-Vorlagen'!$C$82),"",IF(ISERROR(MATCH(VALUE(MID(I657,1,2)),Schwierigkeitsstufen!$G$7:$G$19,0)),"Gerät falsch",LOOKUP(VALUE(MID(I657,1,2)),Schwierigkeitsstufen!$G$7:$G$19,Schwierigkeitsstufen!$H$7:$H$19)))</f>
        <v/>
      </c>
      <c r="AD657" s="251" t="str">
        <f>IF((($A657="")*($B657=""))+((MID($Y657,1,4)&lt;&gt;"Wahl")*(Deckblatt!$C$14='WK-Vorlagen'!$C$82))+(Deckblatt!$C$14&lt;&gt;'WK-Vorlagen'!$C$82),"",IF(ISERROR(MATCH(VALUE(MID(J657,1,2)),Schwierigkeitsstufen!$G$7:$G$19,0)),"Gerät falsch",LOOKUP(VALUE(MID(J657,1,2)),Schwierigkeitsstufen!$G$7:$G$19,Schwierigkeitsstufen!$H$7:$H$19)))</f>
        <v/>
      </c>
      <c r="AE657" s="211"/>
      <c r="AG657" s="221" t="str">
        <f t="shared" si="90"/>
        <v/>
      </c>
      <c r="AH657" s="222" t="str">
        <f t="shared" si="92"/>
        <v/>
      </c>
      <c r="AI657" s="220">
        <f t="shared" si="97"/>
        <v>4</v>
      </c>
      <c r="AJ657" s="222">
        <f t="shared" si="93"/>
        <v>0</v>
      </c>
      <c r="AK657" s="299" t="str">
        <f>IF(ISERROR(LOOKUP(E657,WKNrListe,Übersicht!$R$7:$R$46)),"-",LOOKUP(E657,WKNrListe,Übersicht!$R$7:$R$46))</f>
        <v>-</v>
      </c>
      <c r="AL657" s="299" t="str">
        <f t="shared" si="96"/>
        <v>-</v>
      </c>
      <c r="AM657" s="303"/>
      <c r="AN657" s="174" t="str">
        <f t="shared" si="89"/>
        <v>Leer</v>
      </c>
    </row>
    <row r="658" spans="1:40" s="174" customFormat="1" ht="15" customHeight="1">
      <c r="A658" s="63"/>
      <c r="B658" s="63"/>
      <c r="C658" s="84"/>
      <c r="D658" s="85"/>
      <c r="E658" s="62"/>
      <c r="F658" s="62"/>
      <c r="G658" s="62"/>
      <c r="H658" s="62"/>
      <c r="I658" s="62"/>
      <c r="J658" s="62"/>
      <c r="K658" s="62"/>
      <c r="L658" s="62"/>
      <c r="M658" s="62"/>
      <c r="N658" s="62"/>
      <c r="O658" s="62"/>
      <c r="P658" s="62"/>
      <c r="Q658" s="62"/>
      <c r="R658" s="62"/>
      <c r="S658" s="258"/>
      <c r="T658" s="248" t="str">
        <f t="shared" si="94"/>
        <v/>
      </c>
      <c r="U658" s="249" t="str">
        <f t="shared" si="95"/>
        <v/>
      </c>
      <c r="V658" s="294" t="str">
        <f t="shared" si="91"/>
        <v/>
      </c>
      <c r="W658" s="294" t="str">
        <f>IF(((E658="")+(F658="")),"",IF(VLOOKUP(F658,Mannschaften!$A$1:$B$54,2,FALSE)&lt;&gt;E658,"Reiter Mannschaften füllen",""))</f>
        <v/>
      </c>
      <c r="X658" s="248" t="str">
        <f>IF(ISBLANK(C658),"",IF((U658&gt;(LOOKUP(E658,WKNrListe,Übersicht!$O$7:$O$46)))+(U658&lt;(LOOKUP(E658,WKNrListe,Übersicht!$P$7:$P$46))),"JG falsch",""))</f>
        <v/>
      </c>
      <c r="Y658" s="255" t="str">
        <f>IF((A658="")*(B658=""),"",IF(ISERROR(MATCH(E658,WKNrListe,0)),"WK falsch",LOOKUP(E658,WKNrListe,Übersicht!$B$7:$B$46)))</f>
        <v/>
      </c>
      <c r="Z658" s="269" t="str">
        <f>IF(((AJ658=0)*(AH658&lt;&gt;"")*(AK658="-"))+((AJ658&lt;&gt;0)*(AH658&lt;&gt;"")*(AK658="-")),IF(AG658="X",Übersicht!$C$70,Übersicht!$C$69),"-")</f>
        <v>-</v>
      </c>
      <c r="AA658" s="252" t="str">
        <f>IF((($A658="")*($B658=""))+((MID($Y658,1,4)&lt;&gt;"Wahl")*(Deckblatt!$C$14='WK-Vorlagen'!$C$82))+(Deckblatt!$C$14&lt;&gt;'WK-Vorlagen'!$C$82),"",IF(ISERROR(MATCH(VALUE(MID(G658,1,2)),Schwierigkeitsstufen!$G$7:$G$19,0)),"Gerät falsch",LOOKUP(VALUE(MID(G658,1,2)),Schwierigkeitsstufen!$G$7:$G$19,Schwierigkeitsstufen!$H$7:$H$19)))</f>
        <v/>
      </c>
      <c r="AB658" s="250" t="str">
        <f>IF((($A658="")*($B658=""))+((MID($Y658,1,4)&lt;&gt;"Wahl")*(Deckblatt!$C$14='WK-Vorlagen'!$C$82))+(Deckblatt!$C$14&lt;&gt;'WK-Vorlagen'!$C$82),"",IF(ISERROR(MATCH(VALUE(MID(H658,1,2)),Schwierigkeitsstufen!$G$7:$G$19,0)),"Gerät falsch",LOOKUP(VALUE(MID(H658,1,2)),Schwierigkeitsstufen!$G$7:$G$19,Schwierigkeitsstufen!$H$7:$H$19)))</f>
        <v/>
      </c>
      <c r="AC658" s="250" t="str">
        <f>IF((($A658="")*($B658=""))+((MID($Y658,1,4)&lt;&gt;"Wahl")*(Deckblatt!$C$14='WK-Vorlagen'!$C$82))+(Deckblatt!$C$14&lt;&gt;'WK-Vorlagen'!$C$82),"",IF(ISERROR(MATCH(VALUE(MID(I658,1,2)),Schwierigkeitsstufen!$G$7:$G$19,0)),"Gerät falsch",LOOKUP(VALUE(MID(I658,1,2)),Schwierigkeitsstufen!$G$7:$G$19,Schwierigkeitsstufen!$H$7:$H$19)))</f>
        <v/>
      </c>
      <c r="AD658" s="251" t="str">
        <f>IF((($A658="")*($B658=""))+((MID($Y658,1,4)&lt;&gt;"Wahl")*(Deckblatt!$C$14='WK-Vorlagen'!$C$82))+(Deckblatt!$C$14&lt;&gt;'WK-Vorlagen'!$C$82),"",IF(ISERROR(MATCH(VALUE(MID(J658,1,2)),Schwierigkeitsstufen!$G$7:$G$19,0)),"Gerät falsch",LOOKUP(VALUE(MID(J658,1,2)),Schwierigkeitsstufen!$G$7:$G$19,Schwierigkeitsstufen!$H$7:$H$19)))</f>
        <v/>
      </c>
      <c r="AE658" s="211"/>
      <c r="AG658" s="221" t="str">
        <f t="shared" si="90"/>
        <v/>
      </c>
      <c r="AH658" s="222" t="str">
        <f t="shared" si="92"/>
        <v/>
      </c>
      <c r="AI658" s="220">
        <f t="shared" si="97"/>
        <v>4</v>
      </c>
      <c r="AJ658" s="222">
        <f t="shared" si="93"/>
        <v>0</v>
      </c>
      <c r="AK658" s="299" t="str">
        <f>IF(ISERROR(LOOKUP(E658,WKNrListe,Übersicht!$R$7:$R$46)),"-",LOOKUP(E658,WKNrListe,Übersicht!$R$7:$R$46))</f>
        <v>-</v>
      </c>
      <c r="AL658" s="299" t="str">
        <f t="shared" si="96"/>
        <v>-</v>
      </c>
      <c r="AM658" s="303"/>
      <c r="AN658" s="174" t="str">
        <f t="shared" si="89"/>
        <v>Leer</v>
      </c>
    </row>
    <row r="659" spans="1:40" s="174" customFormat="1" ht="15" customHeight="1">
      <c r="A659" s="63"/>
      <c r="B659" s="63"/>
      <c r="C659" s="84"/>
      <c r="D659" s="85"/>
      <c r="E659" s="62"/>
      <c r="F659" s="62"/>
      <c r="G659" s="62"/>
      <c r="H659" s="62"/>
      <c r="I659" s="62"/>
      <c r="J659" s="62"/>
      <c r="K659" s="62"/>
      <c r="L659" s="62"/>
      <c r="M659" s="62"/>
      <c r="N659" s="62"/>
      <c r="O659" s="62"/>
      <c r="P659" s="62"/>
      <c r="Q659" s="62"/>
      <c r="R659" s="62"/>
      <c r="S659" s="258"/>
      <c r="T659" s="248" t="str">
        <f t="shared" si="94"/>
        <v/>
      </c>
      <c r="U659" s="249" t="str">
        <f t="shared" si="95"/>
        <v/>
      </c>
      <c r="V659" s="294" t="str">
        <f t="shared" si="91"/>
        <v/>
      </c>
      <c r="W659" s="294" t="str">
        <f>IF(((E659="")+(F659="")),"",IF(VLOOKUP(F659,Mannschaften!$A$1:$B$54,2,FALSE)&lt;&gt;E659,"Reiter Mannschaften füllen",""))</f>
        <v/>
      </c>
      <c r="X659" s="248" t="str">
        <f>IF(ISBLANK(C659),"",IF((U659&gt;(LOOKUP(E659,WKNrListe,Übersicht!$O$7:$O$46)))+(U659&lt;(LOOKUP(E659,WKNrListe,Übersicht!$P$7:$P$46))),"JG falsch",""))</f>
        <v/>
      </c>
      <c r="Y659" s="255" t="str">
        <f>IF((A659="")*(B659=""),"",IF(ISERROR(MATCH(E659,WKNrListe,0)),"WK falsch",LOOKUP(E659,WKNrListe,Übersicht!$B$7:$B$46)))</f>
        <v/>
      </c>
      <c r="Z659" s="269" t="str">
        <f>IF(((AJ659=0)*(AH659&lt;&gt;"")*(AK659="-"))+((AJ659&lt;&gt;0)*(AH659&lt;&gt;"")*(AK659="-")),IF(AG659="X",Übersicht!$C$70,Übersicht!$C$69),"-")</f>
        <v>-</v>
      </c>
      <c r="AA659" s="252" t="str">
        <f>IF((($A659="")*($B659=""))+((MID($Y659,1,4)&lt;&gt;"Wahl")*(Deckblatt!$C$14='WK-Vorlagen'!$C$82))+(Deckblatt!$C$14&lt;&gt;'WK-Vorlagen'!$C$82),"",IF(ISERROR(MATCH(VALUE(MID(G659,1,2)),Schwierigkeitsstufen!$G$7:$G$19,0)),"Gerät falsch",LOOKUP(VALUE(MID(G659,1,2)),Schwierigkeitsstufen!$G$7:$G$19,Schwierigkeitsstufen!$H$7:$H$19)))</f>
        <v/>
      </c>
      <c r="AB659" s="250" t="str">
        <f>IF((($A659="")*($B659=""))+((MID($Y659,1,4)&lt;&gt;"Wahl")*(Deckblatt!$C$14='WK-Vorlagen'!$C$82))+(Deckblatt!$C$14&lt;&gt;'WK-Vorlagen'!$C$82),"",IF(ISERROR(MATCH(VALUE(MID(H659,1,2)),Schwierigkeitsstufen!$G$7:$G$19,0)),"Gerät falsch",LOOKUP(VALUE(MID(H659,1,2)),Schwierigkeitsstufen!$G$7:$G$19,Schwierigkeitsstufen!$H$7:$H$19)))</f>
        <v/>
      </c>
      <c r="AC659" s="250" t="str">
        <f>IF((($A659="")*($B659=""))+((MID($Y659,1,4)&lt;&gt;"Wahl")*(Deckblatt!$C$14='WK-Vorlagen'!$C$82))+(Deckblatt!$C$14&lt;&gt;'WK-Vorlagen'!$C$82),"",IF(ISERROR(MATCH(VALUE(MID(I659,1,2)),Schwierigkeitsstufen!$G$7:$G$19,0)),"Gerät falsch",LOOKUP(VALUE(MID(I659,1,2)),Schwierigkeitsstufen!$G$7:$G$19,Schwierigkeitsstufen!$H$7:$H$19)))</f>
        <v/>
      </c>
      <c r="AD659" s="251" t="str">
        <f>IF((($A659="")*($B659=""))+((MID($Y659,1,4)&lt;&gt;"Wahl")*(Deckblatt!$C$14='WK-Vorlagen'!$C$82))+(Deckblatt!$C$14&lt;&gt;'WK-Vorlagen'!$C$82),"",IF(ISERROR(MATCH(VALUE(MID(J659,1,2)),Schwierigkeitsstufen!$G$7:$G$19,0)),"Gerät falsch",LOOKUP(VALUE(MID(J659,1,2)),Schwierigkeitsstufen!$G$7:$G$19,Schwierigkeitsstufen!$H$7:$H$19)))</f>
        <v/>
      </c>
      <c r="AE659" s="211"/>
      <c r="AG659" s="221" t="str">
        <f t="shared" si="90"/>
        <v/>
      </c>
      <c r="AH659" s="222" t="str">
        <f t="shared" si="92"/>
        <v/>
      </c>
      <c r="AI659" s="220">
        <f t="shared" si="97"/>
        <v>4</v>
      </c>
      <c r="AJ659" s="222">
        <f t="shared" si="93"/>
        <v>0</v>
      </c>
      <c r="AK659" s="299" t="str">
        <f>IF(ISERROR(LOOKUP(E659,WKNrListe,Übersicht!$R$7:$R$46)),"-",LOOKUP(E659,WKNrListe,Übersicht!$R$7:$R$46))</f>
        <v>-</v>
      </c>
      <c r="AL659" s="299" t="str">
        <f t="shared" si="96"/>
        <v>-</v>
      </c>
      <c r="AM659" s="303"/>
      <c r="AN659" s="174" t="str">
        <f t="shared" si="89"/>
        <v>Leer</v>
      </c>
    </row>
    <row r="660" spans="1:40" s="174" customFormat="1" ht="15" customHeight="1">
      <c r="A660" s="63"/>
      <c r="B660" s="63"/>
      <c r="C660" s="84"/>
      <c r="D660" s="85"/>
      <c r="E660" s="62"/>
      <c r="F660" s="62"/>
      <c r="G660" s="62"/>
      <c r="H660" s="62"/>
      <c r="I660" s="62"/>
      <c r="J660" s="62"/>
      <c r="K660" s="62"/>
      <c r="L660" s="62"/>
      <c r="M660" s="62"/>
      <c r="N660" s="62"/>
      <c r="O660" s="62"/>
      <c r="P660" s="62"/>
      <c r="Q660" s="62"/>
      <c r="R660" s="62"/>
      <c r="S660" s="258"/>
      <c r="T660" s="248" t="str">
        <f t="shared" si="94"/>
        <v/>
      </c>
      <c r="U660" s="249" t="str">
        <f t="shared" si="95"/>
        <v/>
      </c>
      <c r="V660" s="294" t="str">
        <f t="shared" si="91"/>
        <v/>
      </c>
      <c r="W660" s="294" t="str">
        <f>IF(((E660="")+(F660="")),"",IF(VLOOKUP(F660,Mannschaften!$A$1:$B$54,2,FALSE)&lt;&gt;E660,"Reiter Mannschaften füllen",""))</f>
        <v/>
      </c>
      <c r="X660" s="248" t="str">
        <f>IF(ISBLANK(C660),"",IF((U660&gt;(LOOKUP(E660,WKNrListe,Übersicht!$O$7:$O$46)))+(U660&lt;(LOOKUP(E660,WKNrListe,Übersicht!$P$7:$P$46))),"JG falsch",""))</f>
        <v/>
      </c>
      <c r="Y660" s="255" t="str">
        <f>IF((A660="")*(B660=""),"",IF(ISERROR(MATCH(E660,WKNrListe,0)),"WK falsch",LOOKUP(E660,WKNrListe,Übersicht!$B$7:$B$46)))</f>
        <v/>
      </c>
      <c r="Z660" s="269" t="str">
        <f>IF(((AJ660=0)*(AH660&lt;&gt;"")*(AK660="-"))+((AJ660&lt;&gt;0)*(AH660&lt;&gt;"")*(AK660="-")),IF(AG660="X",Übersicht!$C$70,Übersicht!$C$69),"-")</f>
        <v>-</v>
      </c>
      <c r="AA660" s="252" t="str">
        <f>IF((($A660="")*($B660=""))+((MID($Y660,1,4)&lt;&gt;"Wahl")*(Deckblatt!$C$14='WK-Vorlagen'!$C$82))+(Deckblatt!$C$14&lt;&gt;'WK-Vorlagen'!$C$82),"",IF(ISERROR(MATCH(VALUE(MID(G660,1,2)),Schwierigkeitsstufen!$G$7:$G$19,0)),"Gerät falsch",LOOKUP(VALUE(MID(G660,1,2)),Schwierigkeitsstufen!$G$7:$G$19,Schwierigkeitsstufen!$H$7:$H$19)))</f>
        <v/>
      </c>
      <c r="AB660" s="250" t="str">
        <f>IF((($A660="")*($B660=""))+((MID($Y660,1,4)&lt;&gt;"Wahl")*(Deckblatt!$C$14='WK-Vorlagen'!$C$82))+(Deckblatt!$C$14&lt;&gt;'WK-Vorlagen'!$C$82),"",IF(ISERROR(MATCH(VALUE(MID(H660,1,2)),Schwierigkeitsstufen!$G$7:$G$19,0)),"Gerät falsch",LOOKUP(VALUE(MID(H660,1,2)),Schwierigkeitsstufen!$G$7:$G$19,Schwierigkeitsstufen!$H$7:$H$19)))</f>
        <v/>
      </c>
      <c r="AC660" s="250" t="str">
        <f>IF((($A660="")*($B660=""))+((MID($Y660,1,4)&lt;&gt;"Wahl")*(Deckblatt!$C$14='WK-Vorlagen'!$C$82))+(Deckblatt!$C$14&lt;&gt;'WK-Vorlagen'!$C$82),"",IF(ISERROR(MATCH(VALUE(MID(I660,1,2)),Schwierigkeitsstufen!$G$7:$G$19,0)),"Gerät falsch",LOOKUP(VALUE(MID(I660,1,2)),Schwierigkeitsstufen!$G$7:$G$19,Schwierigkeitsstufen!$H$7:$H$19)))</f>
        <v/>
      </c>
      <c r="AD660" s="251" t="str">
        <f>IF((($A660="")*($B660=""))+((MID($Y660,1,4)&lt;&gt;"Wahl")*(Deckblatt!$C$14='WK-Vorlagen'!$C$82))+(Deckblatt!$C$14&lt;&gt;'WK-Vorlagen'!$C$82),"",IF(ISERROR(MATCH(VALUE(MID(J660,1,2)),Schwierigkeitsstufen!$G$7:$G$19,0)),"Gerät falsch",LOOKUP(VALUE(MID(J660,1,2)),Schwierigkeitsstufen!$G$7:$G$19,Schwierigkeitsstufen!$H$7:$H$19)))</f>
        <v/>
      </c>
      <c r="AE660" s="211"/>
      <c r="AG660" s="221" t="str">
        <f t="shared" si="90"/>
        <v/>
      </c>
      <c r="AH660" s="222" t="str">
        <f t="shared" si="92"/>
        <v/>
      </c>
      <c r="AI660" s="220">
        <f t="shared" si="97"/>
        <v>4</v>
      </c>
      <c r="AJ660" s="222">
        <f t="shared" si="93"/>
        <v>0</v>
      </c>
      <c r="AK660" s="299" t="str">
        <f>IF(ISERROR(LOOKUP(E660,WKNrListe,Übersicht!$R$7:$R$46)),"-",LOOKUP(E660,WKNrListe,Übersicht!$R$7:$R$46))</f>
        <v>-</v>
      </c>
      <c r="AL660" s="299" t="str">
        <f t="shared" si="96"/>
        <v>-</v>
      </c>
      <c r="AM660" s="303"/>
      <c r="AN660" s="174" t="str">
        <f t="shared" si="89"/>
        <v>Leer</v>
      </c>
    </row>
    <row r="661" spans="1:40" s="174" customFormat="1" ht="15" customHeight="1">
      <c r="A661" s="63"/>
      <c r="B661" s="63"/>
      <c r="C661" s="84"/>
      <c r="D661" s="85"/>
      <c r="E661" s="62"/>
      <c r="F661" s="62"/>
      <c r="G661" s="62"/>
      <c r="H661" s="62"/>
      <c r="I661" s="62"/>
      <c r="J661" s="62"/>
      <c r="K661" s="62"/>
      <c r="L661" s="62"/>
      <c r="M661" s="62"/>
      <c r="N661" s="62"/>
      <c r="O661" s="62"/>
      <c r="P661" s="62"/>
      <c r="Q661" s="62"/>
      <c r="R661" s="62"/>
      <c r="S661" s="258"/>
      <c r="T661" s="248" t="str">
        <f t="shared" si="94"/>
        <v/>
      </c>
      <c r="U661" s="249" t="str">
        <f t="shared" si="95"/>
        <v/>
      </c>
      <c r="V661" s="294" t="str">
        <f t="shared" si="91"/>
        <v/>
      </c>
      <c r="W661" s="294" t="str">
        <f>IF(((E661="")+(F661="")),"",IF(VLOOKUP(F661,Mannschaften!$A$1:$B$54,2,FALSE)&lt;&gt;E661,"Reiter Mannschaften füllen",""))</f>
        <v/>
      </c>
      <c r="X661" s="248" t="str">
        <f>IF(ISBLANK(C661),"",IF((U661&gt;(LOOKUP(E661,WKNrListe,Übersicht!$O$7:$O$46)))+(U661&lt;(LOOKUP(E661,WKNrListe,Übersicht!$P$7:$P$46))),"JG falsch",""))</f>
        <v/>
      </c>
      <c r="Y661" s="255" t="str">
        <f>IF((A661="")*(B661=""),"",IF(ISERROR(MATCH(E661,WKNrListe,0)),"WK falsch",LOOKUP(E661,WKNrListe,Übersicht!$B$7:$B$46)))</f>
        <v/>
      </c>
      <c r="Z661" s="269" t="str">
        <f>IF(((AJ661=0)*(AH661&lt;&gt;"")*(AK661="-"))+((AJ661&lt;&gt;0)*(AH661&lt;&gt;"")*(AK661="-")),IF(AG661="X",Übersicht!$C$70,Übersicht!$C$69),"-")</f>
        <v>-</v>
      </c>
      <c r="AA661" s="252" t="str">
        <f>IF((($A661="")*($B661=""))+((MID($Y661,1,4)&lt;&gt;"Wahl")*(Deckblatt!$C$14='WK-Vorlagen'!$C$82))+(Deckblatt!$C$14&lt;&gt;'WK-Vorlagen'!$C$82),"",IF(ISERROR(MATCH(VALUE(MID(G661,1,2)),Schwierigkeitsstufen!$G$7:$G$19,0)),"Gerät falsch",LOOKUP(VALUE(MID(G661,1,2)),Schwierigkeitsstufen!$G$7:$G$19,Schwierigkeitsstufen!$H$7:$H$19)))</f>
        <v/>
      </c>
      <c r="AB661" s="250" t="str">
        <f>IF((($A661="")*($B661=""))+((MID($Y661,1,4)&lt;&gt;"Wahl")*(Deckblatt!$C$14='WK-Vorlagen'!$C$82))+(Deckblatt!$C$14&lt;&gt;'WK-Vorlagen'!$C$82),"",IF(ISERROR(MATCH(VALUE(MID(H661,1,2)),Schwierigkeitsstufen!$G$7:$G$19,0)),"Gerät falsch",LOOKUP(VALUE(MID(H661,1,2)),Schwierigkeitsstufen!$G$7:$G$19,Schwierigkeitsstufen!$H$7:$H$19)))</f>
        <v/>
      </c>
      <c r="AC661" s="250" t="str">
        <f>IF((($A661="")*($B661=""))+((MID($Y661,1,4)&lt;&gt;"Wahl")*(Deckblatt!$C$14='WK-Vorlagen'!$C$82))+(Deckblatt!$C$14&lt;&gt;'WK-Vorlagen'!$C$82),"",IF(ISERROR(MATCH(VALUE(MID(I661,1,2)),Schwierigkeitsstufen!$G$7:$G$19,0)),"Gerät falsch",LOOKUP(VALUE(MID(I661,1,2)),Schwierigkeitsstufen!$G$7:$G$19,Schwierigkeitsstufen!$H$7:$H$19)))</f>
        <v/>
      </c>
      <c r="AD661" s="251" t="str">
        <f>IF((($A661="")*($B661=""))+((MID($Y661,1,4)&lt;&gt;"Wahl")*(Deckblatt!$C$14='WK-Vorlagen'!$C$82))+(Deckblatt!$C$14&lt;&gt;'WK-Vorlagen'!$C$82),"",IF(ISERROR(MATCH(VALUE(MID(J661,1,2)),Schwierigkeitsstufen!$G$7:$G$19,0)),"Gerät falsch",LOOKUP(VALUE(MID(J661,1,2)),Schwierigkeitsstufen!$G$7:$G$19,Schwierigkeitsstufen!$H$7:$H$19)))</f>
        <v/>
      </c>
      <c r="AE661" s="211"/>
      <c r="AG661" s="221" t="str">
        <f t="shared" si="90"/>
        <v/>
      </c>
      <c r="AH661" s="222" t="str">
        <f t="shared" si="92"/>
        <v/>
      </c>
      <c r="AI661" s="220">
        <f t="shared" si="97"/>
        <v>4</v>
      </c>
      <c r="AJ661" s="222">
        <f t="shared" si="93"/>
        <v>0</v>
      </c>
      <c r="AK661" s="299" t="str">
        <f>IF(ISERROR(LOOKUP(E661,WKNrListe,Übersicht!$R$7:$R$46)),"-",LOOKUP(E661,WKNrListe,Übersicht!$R$7:$R$46))</f>
        <v>-</v>
      </c>
      <c r="AL661" s="299" t="str">
        <f t="shared" si="96"/>
        <v>-</v>
      </c>
      <c r="AM661" s="303"/>
      <c r="AN661" s="174" t="str">
        <f t="shared" si="89"/>
        <v>Leer</v>
      </c>
    </row>
    <row r="662" spans="1:40" s="174" customFormat="1" ht="15" customHeight="1">
      <c r="A662" s="63"/>
      <c r="B662" s="63"/>
      <c r="C662" s="84"/>
      <c r="D662" s="85"/>
      <c r="E662" s="62"/>
      <c r="F662" s="62"/>
      <c r="G662" s="62"/>
      <c r="H662" s="62"/>
      <c r="I662" s="62"/>
      <c r="J662" s="62"/>
      <c r="K662" s="62"/>
      <c r="L662" s="62"/>
      <c r="M662" s="62"/>
      <c r="N662" s="62"/>
      <c r="O662" s="62"/>
      <c r="P662" s="62"/>
      <c r="Q662" s="62"/>
      <c r="R662" s="62"/>
      <c r="S662" s="258"/>
      <c r="T662" s="248" t="str">
        <f t="shared" si="94"/>
        <v/>
      </c>
      <c r="U662" s="249" t="str">
        <f t="shared" si="95"/>
        <v/>
      </c>
      <c r="V662" s="294" t="str">
        <f t="shared" si="91"/>
        <v/>
      </c>
      <c r="W662" s="294" t="str">
        <f>IF(((E662="")+(F662="")),"",IF(VLOOKUP(F662,Mannschaften!$A$1:$B$54,2,FALSE)&lt;&gt;E662,"Reiter Mannschaften füllen",""))</f>
        <v/>
      </c>
      <c r="X662" s="248" t="str">
        <f>IF(ISBLANK(C662),"",IF((U662&gt;(LOOKUP(E662,WKNrListe,Übersicht!$O$7:$O$46)))+(U662&lt;(LOOKUP(E662,WKNrListe,Übersicht!$P$7:$P$46))),"JG falsch",""))</f>
        <v/>
      </c>
      <c r="Y662" s="255" t="str">
        <f>IF((A662="")*(B662=""),"",IF(ISERROR(MATCH(E662,WKNrListe,0)),"WK falsch",LOOKUP(E662,WKNrListe,Übersicht!$B$7:$B$46)))</f>
        <v/>
      </c>
      <c r="Z662" s="269" t="str">
        <f>IF(((AJ662=0)*(AH662&lt;&gt;"")*(AK662="-"))+((AJ662&lt;&gt;0)*(AH662&lt;&gt;"")*(AK662="-")),IF(AG662="X",Übersicht!$C$70,Übersicht!$C$69),"-")</f>
        <v>-</v>
      </c>
      <c r="AA662" s="252" t="str">
        <f>IF((($A662="")*($B662=""))+((MID($Y662,1,4)&lt;&gt;"Wahl")*(Deckblatt!$C$14='WK-Vorlagen'!$C$82))+(Deckblatt!$C$14&lt;&gt;'WK-Vorlagen'!$C$82),"",IF(ISERROR(MATCH(VALUE(MID(G662,1,2)),Schwierigkeitsstufen!$G$7:$G$19,0)),"Gerät falsch",LOOKUP(VALUE(MID(G662,1,2)),Schwierigkeitsstufen!$G$7:$G$19,Schwierigkeitsstufen!$H$7:$H$19)))</f>
        <v/>
      </c>
      <c r="AB662" s="250" t="str">
        <f>IF((($A662="")*($B662=""))+((MID($Y662,1,4)&lt;&gt;"Wahl")*(Deckblatt!$C$14='WK-Vorlagen'!$C$82))+(Deckblatt!$C$14&lt;&gt;'WK-Vorlagen'!$C$82),"",IF(ISERROR(MATCH(VALUE(MID(H662,1,2)),Schwierigkeitsstufen!$G$7:$G$19,0)),"Gerät falsch",LOOKUP(VALUE(MID(H662,1,2)),Schwierigkeitsstufen!$G$7:$G$19,Schwierigkeitsstufen!$H$7:$H$19)))</f>
        <v/>
      </c>
      <c r="AC662" s="250" t="str">
        <f>IF((($A662="")*($B662=""))+((MID($Y662,1,4)&lt;&gt;"Wahl")*(Deckblatt!$C$14='WK-Vorlagen'!$C$82))+(Deckblatt!$C$14&lt;&gt;'WK-Vorlagen'!$C$82),"",IF(ISERROR(MATCH(VALUE(MID(I662,1,2)),Schwierigkeitsstufen!$G$7:$G$19,0)),"Gerät falsch",LOOKUP(VALUE(MID(I662,1,2)),Schwierigkeitsstufen!$G$7:$G$19,Schwierigkeitsstufen!$H$7:$H$19)))</f>
        <v/>
      </c>
      <c r="AD662" s="251" t="str">
        <f>IF((($A662="")*($B662=""))+((MID($Y662,1,4)&lt;&gt;"Wahl")*(Deckblatt!$C$14='WK-Vorlagen'!$C$82))+(Deckblatt!$C$14&lt;&gt;'WK-Vorlagen'!$C$82),"",IF(ISERROR(MATCH(VALUE(MID(J662,1,2)),Schwierigkeitsstufen!$G$7:$G$19,0)),"Gerät falsch",LOOKUP(VALUE(MID(J662,1,2)),Schwierigkeitsstufen!$G$7:$G$19,Schwierigkeitsstufen!$H$7:$H$19)))</f>
        <v/>
      </c>
      <c r="AE662" s="211"/>
      <c r="AG662" s="221" t="str">
        <f t="shared" si="90"/>
        <v/>
      </c>
      <c r="AH662" s="222" t="str">
        <f t="shared" si="92"/>
        <v/>
      </c>
      <c r="AI662" s="220">
        <f t="shared" si="97"/>
        <v>4</v>
      </c>
      <c r="AJ662" s="222">
        <f t="shared" si="93"/>
        <v>0</v>
      </c>
      <c r="AK662" s="299" t="str">
        <f>IF(ISERROR(LOOKUP(E662,WKNrListe,Übersicht!$R$7:$R$46)),"-",LOOKUP(E662,WKNrListe,Übersicht!$R$7:$R$46))</f>
        <v>-</v>
      </c>
      <c r="AL662" s="299" t="str">
        <f t="shared" si="96"/>
        <v>-</v>
      </c>
      <c r="AM662" s="303"/>
      <c r="AN662" s="174" t="str">
        <f t="shared" si="89"/>
        <v>Leer</v>
      </c>
    </row>
    <row r="663" spans="1:40" s="174" customFormat="1" ht="15" customHeight="1">
      <c r="A663" s="63"/>
      <c r="B663" s="63"/>
      <c r="C663" s="84"/>
      <c r="D663" s="85"/>
      <c r="E663" s="62"/>
      <c r="F663" s="62"/>
      <c r="G663" s="62"/>
      <c r="H663" s="62"/>
      <c r="I663" s="62"/>
      <c r="J663" s="62"/>
      <c r="K663" s="62"/>
      <c r="L663" s="62"/>
      <c r="M663" s="62"/>
      <c r="N663" s="62"/>
      <c r="O663" s="62"/>
      <c r="P663" s="62"/>
      <c r="Q663" s="62"/>
      <c r="R663" s="62"/>
      <c r="S663" s="258"/>
      <c r="T663" s="248" t="str">
        <f t="shared" si="94"/>
        <v/>
      </c>
      <c r="U663" s="249" t="str">
        <f t="shared" si="95"/>
        <v/>
      </c>
      <c r="V663" s="294" t="str">
        <f t="shared" si="91"/>
        <v/>
      </c>
      <c r="W663" s="294" t="str">
        <f>IF(((E663="")+(F663="")),"",IF(VLOOKUP(F663,Mannschaften!$A$1:$B$54,2,FALSE)&lt;&gt;E663,"Reiter Mannschaften füllen",""))</f>
        <v/>
      </c>
      <c r="X663" s="248" t="str">
        <f>IF(ISBLANK(C663),"",IF((U663&gt;(LOOKUP(E663,WKNrListe,Übersicht!$O$7:$O$46)))+(U663&lt;(LOOKUP(E663,WKNrListe,Übersicht!$P$7:$P$46))),"JG falsch",""))</f>
        <v/>
      </c>
      <c r="Y663" s="255" t="str">
        <f>IF((A663="")*(B663=""),"",IF(ISERROR(MATCH(E663,WKNrListe,0)),"WK falsch",LOOKUP(E663,WKNrListe,Übersicht!$B$7:$B$46)))</f>
        <v/>
      </c>
      <c r="Z663" s="269" t="str">
        <f>IF(((AJ663=0)*(AH663&lt;&gt;"")*(AK663="-"))+((AJ663&lt;&gt;0)*(AH663&lt;&gt;"")*(AK663="-")),IF(AG663="X",Übersicht!$C$70,Übersicht!$C$69),"-")</f>
        <v>-</v>
      </c>
      <c r="AA663" s="252" t="str">
        <f>IF((($A663="")*($B663=""))+((MID($Y663,1,4)&lt;&gt;"Wahl")*(Deckblatt!$C$14='WK-Vorlagen'!$C$82))+(Deckblatt!$C$14&lt;&gt;'WK-Vorlagen'!$C$82),"",IF(ISERROR(MATCH(VALUE(MID(G663,1,2)),Schwierigkeitsstufen!$G$7:$G$19,0)),"Gerät falsch",LOOKUP(VALUE(MID(G663,1,2)),Schwierigkeitsstufen!$G$7:$G$19,Schwierigkeitsstufen!$H$7:$H$19)))</f>
        <v/>
      </c>
      <c r="AB663" s="250" t="str">
        <f>IF((($A663="")*($B663=""))+((MID($Y663,1,4)&lt;&gt;"Wahl")*(Deckblatt!$C$14='WK-Vorlagen'!$C$82))+(Deckblatt!$C$14&lt;&gt;'WK-Vorlagen'!$C$82),"",IF(ISERROR(MATCH(VALUE(MID(H663,1,2)),Schwierigkeitsstufen!$G$7:$G$19,0)),"Gerät falsch",LOOKUP(VALUE(MID(H663,1,2)),Schwierigkeitsstufen!$G$7:$G$19,Schwierigkeitsstufen!$H$7:$H$19)))</f>
        <v/>
      </c>
      <c r="AC663" s="250" t="str">
        <f>IF((($A663="")*($B663=""))+((MID($Y663,1,4)&lt;&gt;"Wahl")*(Deckblatt!$C$14='WK-Vorlagen'!$C$82))+(Deckblatt!$C$14&lt;&gt;'WK-Vorlagen'!$C$82),"",IF(ISERROR(MATCH(VALUE(MID(I663,1,2)),Schwierigkeitsstufen!$G$7:$G$19,0)),"Gerät falsch",LOOKUP(VALUE(MID(I663,1,2)),Schwierigkeitsstufen!$G$7:$G$19,Schwierigkeitsstufen!$H$7:$H$19)))</f>
        <v/>
      </c>
      <c r="AD663" s="251" t="str">
        <f>IF((($A663="")*($B663=""))+((MID($Y663,1,4)&lt;&gt;"Wahl")*(Deckblatt!$C$14='WK-Vorlagen'!$C$82))+(Deckblatt!$C$14&lt;&gt;'WK-Vorlagen'!$C$82),"",IF(ISERROR(MATCH(VALUE(MID(J663,1,2)),Schwierigkeitsstufen!$G$7:$G$19,0)),"Gerät falsch",LOOKUP(VALUE(MID(J663,1,2)),Schwierigkeitsstufen!$G$7:$G$19,Schwierigkeitsstufen!$H$7:$H$19)))</f>
        <v/>
      </c>
      <c r="AE663" s="211"/>
      <c r="AG663" s="221" t="str">
        <f t="shared" si="90"/>
        <v/>
      </c>
      <c r="AH663" s="222" t="str">
        <f t="shared" si="92"/>
        <v/>
      </c>
      <c r="AI663" s="220">
        <f t="shared" si="97"/>
        <v>4</v>
      </c>
      <c r="AJ663" s="222">
        <f t="shared" si="93"/>
        <v>0</v>
      </c>
      <c r="AK663" s="299" t="str">
        <f>IF(ISERROR(LOOKUP(E663,WKNrListe,Übersicht!$R$7:$R$46)),"-",LOOKUP(E663,WKNrListe,Übersicht!$R$7:$R$46))</f>
        <v>-</v>
      </c>
      <c r="AL663" s="299" t="str">
        <f t="shared" si="96"/>
        <v>-</v>
      </c>
      <c r="AM663" s="303"/>
      <c r="AN663" s="174" t="str">
        <f t="shared" si="89"/>
        <v>Leer</v>
      </c>
    </row>
    <row r="664" spans="1:40" s="174" customFormat="1" ht="15" customHeight="1">
      <c r="A664" s="63"/>
      <c r="B664" s="63"/>
      <c r="C664" s="84"/>
      <c r="D664" s="85"/>
      <c r="E664" s="62"/>
      <c r="F664" s="62"/>
      <c r="G664" s="62"/>
      <c r="H664" s="62"/>
      <c r="I664" s="62"/>
      <c r="J664" s="62"/>
      <c r="K664" s="62"/>
      <c r="L664" s="62"/>
      <c r="M664" s="62"/>
      <c r="N664" s="62"/>
      <c r="O664" s="62"/>
      <c r="P664" s="62"/>
      <c r="Q664" s="62"/>
      <c r="R664" s="62"/>
      <c r="S664" s="258"/>
      <c r="T664" s="248" t="str">
        <f t="shared" si="94"/>
        <v/>
      </c>
      <c r="U664" s="249" t="str">
        <f t="shared" si="95"/>
        <v/>
      </c>
      <c r="V664" s="294" t="str">
        <f t="shared" si="91"/>
        <v/>
      </c>
      <c r="W664" s="294" t="str">
        <f>IF(((E664="")+(F664="")),"",IF(VLOOKUP(F664,Mannschaften!$A$1:$B$54,2,FALSE)&lt;&gt;E664,"Reiter Mannschaften füllen",""))</f>
        <v/>
      </c>
      <c r="X664" s="248" t="str">
        <f>IF(ISBLANK(C664),"",IF((U664&gt;(LOOKUP(E664,WKNrListe,Übersicht!$O$7:$O$46)))+(U664&lt;(LOOKUP(E664,WKNrListe,Übersicht!$P$7:$P$46))),"JG falsch",""))</f>
        <v/>
      </c>
      <c r="Y664" s="255" t="str">
        <f>IF((A664="")*(B664=""),"",IF(ISERROR(MATCH(E664,WKNrListe,0)),"WK falsch",LOOKUP(E664,WKNrListe,Übersicht!$B$7:$B$46)))</f>
        <v/>
      </c>
      <c r="Z664" s="269" t="str">
        <f>IF(((AJ664=0)*(AH664&lt;&gt;"")*(AK664="-"))+((AJ664&lt;&gt;0)*(AH664&lt;&gt;"")*(AK664="-")),IF(AG664="X",Übersicht!$C$70,Übersicht!$C$69),"-")</f>
        <v>-</v>
      </c>
      <c r="AA664" s="252" t="str">
        <f>IF((($A664="")*($B664=""))+((MID($Y664,1,4)&lt;&gt;"Wahl")*(Deckblatt!$C$14='WK-Vorlagen'!$C$82))+(Deckblatt!$C$14&lt;&gt;'WK-Vorlagen'!$C$82),"",IF(ISERROR(MATCH(VALUE(MID(G664,1,2)),Schwierigkeitsstufen!$G$7:$G$19,0)),"Gerät falsch",LOOKUP(VALUE(MID(G664,1,2)),Schwierigkeitsstufen!$G$7:$G$19,Schwierigkeitsstufen!$H$7:$H$19)))</f>
        <v/>
      </c>
      <c r="AB664" s="250" t="str">
        <f>IF((($A664="")*($B664=""))+((MID($Y664,1,4)&lt;&gt;"Wahl")*(Deckblatt!$C$14='WK-Vorlagen'!$C$82))+(Deckblatt!$C$14&lt;&gt;'WK-Vorlagen'!$C$82),"",IF(ISERROR(MATCH(VALUE(MID(H664,1,2)),Schwierigkeitsstufen!$G$7:$G$19,0)),"Gerät falsch",LOOKUP(VALUE(MID(H664,1,2)),Schwierigkeitsstufen!$G$7:$G$19,Schwierigkeitsstufen!$H$7:$H$19)))</f>
        <v/>
      </c>
      <c r="AC664" s="250" t="str">
        <f>IF((($A664="")*($B664=""))+((MID($Y664,1,4)&lt;&gt;"Wahl")*(Deckblatt!$C$14='WK-Vorlagen'!$C$82))+(Deckblatt!$C$14&lt;&gt;'WK-Vorlagen'!$C$82),"",IF(ISERROR(MATCH(VALUE(MID(I664,1,2)),Schwierigkeitsstufen!$G$7:$G$19,0)),"Gerät falsch",LOOKUP(VALUE(MID(I664,1,2)),Schwierigkeitsstufen!$G$7:$G$19,Schwierigkeitsstufen!$H$7:$H$19)))</f>
        <v/>
      </c>
      <c r="AD664" s="251" t="str">
        <f>IF((($A664="")*($B664=""))+((MID($Y664,1,4)&lt;&gt;"Wahl")*(Deckblatt!$C$14='WK-Vorlagen'!$C$82))+(Deckblatt!$C$14&lt;&gt;'WK-Vorlagen'!$C$82),"",IF(ISERROR(MATCH(VALUE(MID(J664,1,2)),Schwierigkeitsstufen!$G$7:$G$19,0)),"Gerät falsch",LOOKUP(VALUE(MID(J664,1,2)),Schwierigkeitsstufen!$G$7:$G$19,Schwierigkeitsstufen!$H$7:$H$19)))</f>
        <v/>
      </c>
      <c r="AE664" s="211"/>
      <c r="AG664" s="221" t="str">
        <f t="shared" si="90"/>
        <v/>
      </c>
      <c r="AH664" s="222" t="str">
        <f t="shared" si="92"/>
        <v/>
      </c>
      <c r="AI664" s="220">
        <f t="shared" si="97"/>
        <v>4</v>
      </c>
      <c r="AJ664" s="222">
        <f t="shared" si="93"/>
        <v>0</v>
      </c>
      <c r="AK664" s="299" t="str">
        <f>IF(ISERROR(LOOKUP(E664,WKNrListe,Übersicht!$R$7:$R$46)),"-",LOOKUP(E664,WKNrListe,Übersicht!$R$7:$R$46))</f>
        <v>-</v>
      </c>
      <c r="AL664" s="299" t="str">
        <f t="shared" si="96"/>
        <v>-</v>
      </c>
      <c r="AM664" s="303"/>
      <c r="AN664" s="174" t="str">
        <f t="shared" si="89"/>
        <v>Leer</v>
      </c>
    </row>
    <row r="665" spans="1:40" s="174" customFormat="1" ht="15" customHeight="1">
      <c r="A665" s="63"/>
      <c r="B665" s="63"/>
      <c r="C665" s="84"/>
      <c r="D665" s="85"/>
      <c r="E665" s="62"/>
      <c r="F665" s="62"/>
      <c r="G665" s="62"/>
      <c r="H665" s="62"/>
      <c r="I665" s="62"/>
      <c r="J665" s="62"/>
      <c r="K665" s="62"/>
      <c r="L665" s="62"/>
      <c r="M665" s="62"/>
      <c r="N665" s="62"/>
      <c r="O665" s="62"/>
      <c r="P665" s="62"/>
      <c r="Q665" s="62"/>
      <c r="R665" s="62"/>
      <c r="S665" s="258"/>
      <c r="T665" s="248" t="str">
        <f t="shared" si="94"/>
        <v/>
      </c>
      <c r="U665" s="249" t="str">
        <f t="shared" si="95"/>
        <v/>
      </c>
      <c r="V665" s="294" t="str">
        <f t="shared" si="91"/>
        <v/>
      </c>
      <c r="W665" s="294" t="str">
        <f>IF(((E665="")+(F665="")),"",IF(VLOOKUP(F665,Mannschaften!$A$1:$B$54,2,FALSE)&lt;&gt;E665,"Reiter Mannschaften füllen",""))</f>
        <v/>
      </c>
      <c r="X665" s="248" t="str">
        <f>IF(ISBLANK(C665),"",IF((U665&gt;(LOOKUP(E665,WKNrListe,Übersicht!$O$7:$O$46)))+(U665&lt;(LOOKUP(E665,WKNrListe,Übersicht!$P$7:$P$46))),"JG falsch",""))</f>
        <v/>
      </c>
      <c r="Y665" s="255" t="str">
        <f>IF((A665="")*(B665=""),"",IF(ISERROR(MATCH(E665,WKNrListe,0)),"WK falsch",LOOKUP(E665,WKNrListe,Übersicht!$B$7:$B$46)))</f>
        <v/>
      </c>
      <c r="Z665" s="269" t="str">
        <f>IF(((AJ665=0)*(AH665&lt;&gt;"")*(AK665="-"))+((AJ665&lt;&gt;0)*(AH665&lt;&gt;"")*(AK665="-")),IF(AG665="X",Übersicht!$C$70,Übersicht!$C$69),"-")</f>
        <v>-</v>
      </c>
      <c r="AA665" s="252" t="str">
        <f>IF((($A665="")*($B665=""))+((MID($Y665,1,4)&lt;&gt;"Wahl")*(Deckblatt!$C$14='WK-Vorlagen'!$C$82))+(Deckblatt!$C$14&lt;&gt;'WK-Vorlagen'!$C$82),"",IF(ISERROR(MATCH(VALUE(MID(G665,1,2)),Schwierigkeitsstufen!$G$7:$G$19,0)),"Gerät falsch",LOOKUP(VALUE(MID(G665,1,2)),Schwierigkeitsstufen!$G$7:$G$19,Schwierigkeitsstufen!$H$7:$H$19)))</f>
        <v/>
      </c>
      <c r="AB665" s="250" t="str">
        <f>IF((($A665="")*($B665=""))+((MID($Y665,1,4)&lt;&gt;"Wahl")*(Deckblatt!$C$14='WK-Vorlagen'!$C$82))+(Deckblatt!$C$14&lt;&gt;'WK-Vorlagen'!$C$82),"",IF(ISERROR(MATCH(VALUE(MID(H665,1,2)),Schwierigkeitsstufen!$G$7:$G$19,0)),"Gerät falsch",LOOKUP(VALUE(MID(H665,1,2)),Schwierigkeitsstufen!$G$7:$G$19,Schwierigkeitsstufen!$H$7:$H$19)))</f>
        <v/>
      </c>
      <c r="AC665" s="250" t="str">
        <f>IF((($A665="")*($B665=""))+((MID($Y665,1,4)&lt;&gt;"Wahl")*(Deckblatt!$C$14='WK-Vorlagen'!$C$82))+(Deckblatt!$C$14&lt;&gt;'WK-Vorlagen'!$C$82),"",IF(ISERROR(MATCH(VALUE(MID(I665,1,2)),Schwierigkeitsstufen!$G$7:$G$19,0)),"Gerät falsch",LOOKUP(VALUE(MID(I665,1,2)),Schwierigkeitsstufen!$G$7:$G$19,Schwierigkeitsstufen!$H$7:$H$19)))</f>
        <v/>
      </c>
      <c r="AD665" s="251" t="str">
        <f>IF((($A665="")*($B665=""))+((MID($Y665,1,4)&lt;&gt;"Wahl")*(Deckblatt!$C$14='WK-Vorlagen'!$C$82))+(Deckblatt!$C$14&lt;&gt;'WK-Vorlagen'!$C$82),"",IF(ISERROR(MATCH(VALUE(MID(J665,1,2)),Schwierigkeitsstufen!$G$7:$G$19,0)),"Gerät falsch",LOOKUP(VALUE(MID(J665,1,2)),Schwierigkeitsstufen!$G$7:$G$19,Schwierigkeitsstufen!$H$7:$H$19)))</f>
        <v/>
      </c>
      <c r="AE665" s="211"/>
      <c r="AG665" s="221" t="str">
        <f t="shared" si="90"/>
        <v/>
      </c>
      <c r="AH665" s="222" t="str">
        <f t="shared" si="92"/>
        <v/>
      </c>
      <c r="AI665" s="220">
        <f t="shared" si="97"/>
        <v>4</v>
      </c>
      <c r="AJ665" s="222">
        <f t="shared" si="93"/>
        <v>0</v>
      </c>
      <c r="AK665" s="299" t="str">
        <f>IF(ISERROR(LOOKUP(E665,WKNrListe,Übersicht!$R$7:$R$46)),"-",LOOKUP(E665,WKNrListe,Übersicht!$R$7:$R$46))</f>
        <v>-</v>
      </c>
      <c r="AL665" s="299" t="str">
        <f t="shared" si="96"/>
        <v>-</v>
      </c>
      <c r="AM665" s="303"/>
      <c r="AN665" s="174" t="str">
        <f t="shared" si="89"/>
        <v>Leer</v>
      </c>
    </row>
    <row r="666" spans="1:40" s="174" customFormat="1" ht="15" customHeight="1">
      <c r="A666" s="63"/>
      <c r="B666" s="63"/>
      <c r="C666" s="84"/>
      <c r="D666" s="85"/>
      <c r="E666" s="62"/>
      <c r="F666" s="62"/>
      <c r="G666" s="62"/>
      <c r="H666" s="62"/>
      <c r="I666" s="62"/>
      <c r="J666" s="62"/>
      <c r="K666" s="62"/>
      <c r="L666" s="62"/>
      <c r="M666" s="62"/>
      <c r="N666" s="62"/>
      <c r="O666" s="62"/>
      <c r="P666" s="62"/>
      <c r="Q666" s="62"/>
      <c r="R666" s="62"/>
      <c r="S666" s="258"/>
      <c r="T666" s="248" t="str">
        <f t="shared" si="94"/>
        <v/>
      </c>
      <c r="U666" s="249" t="str">
        <f t="shared" si="95"/>
        <v/>
      </c>
      <c r="V666" s="294" t="str">
        <f t="shared" si="91"/>
        <v/>
      </c>
      <c r="W666" s="294" t="str">
        <f>IF(((E666="")+(F666="")),"",IF(VLOOKUP(F666,Mannschaften!$A$1:$B$54,2,FALSE)&lt;&gt;E666,"Reiter Mannschaften füllen",""))</f>
        <v/>
      </c>
      <c r="X666" s="248" t="str">
        <f>IF(ISBLANK(C666),"",IF((U666&gt;(LOOKUP(E666,WKNrListe,Übersicht!$O$7:$O$46)))+(U666&lt;(LOOKUP(E666,WKNrListe,Übersicht!$P$7:$P$46))),"JG falsch",""))</f>
        <v/>
      </c>
      <c r="Y666" s="255" t="str">
        <f>IF((A666="")*(B666=""),"",IF(ISERROR(MATCH(E666,WKNrListe,0)),"WK falsch",LOOKUP(E666,WKNrListe,Übersicht!$B$7:$B$46)))</f>
        <v/>
      </c>
      <c r="Z666" s="269" t="str">
        <f>IF(((AJ666=0)*(AH666&lt;&gt;"")*(AK666="-"))+((AJ666&lt;&gt;0)*(AH666&lt;&gt;"")*(AK666="-")),IF(AG666="X",Übersicht!$C$70,Übersicht!$C$69),"-")</f>
        <v>-</v>
      </c>
      <c r="AA666" s="252" t="str">
        <f>IF((($A666="")*($B666=""))+((MID($Y666,1,4)&lt;&gt;"Wahl")*(Deckblatt!$C$14='WK-Vorlagen'!$C$82))+(Deckblatt!$C$14&lt;&gt;'WK-Vorlagen'!$C$82),"",IF(ISERROR(MATCH(VALUE(MID(G666,1,2)),Schwierigkeitsstufen!$G$7:$G$19,0)),"Gerät falsch",LOOKUP(VALUE(MID(G666,1,2)),Schwierigkeitsstufen!$G$7:$G$19,Schwierigkeitsstufen!$H$7:$H$19)))</f>
        <v/>
      </c>
      <c r="AB666" s="250" t="str">
        <f>IF((($A666="")*($B666=""))+((MID($Y666,1,4)&lt;&gt;"Wahl")*(Deckblatt!$C$14='WK-Vorlagen'!$C$82))+(Deckblatt!$C$14&lt;&gt;'WK-Vorlagen'!$C$82),"",IF(ISERROR(MATCH(VALUE(MID(H666,1,2)),Schwierigkeitsstufen!$G$7:$G$19,0)),"Gerät falsch",LOOKUP(VALUE(MID(H666,1,2)),Schwierigkeitsstufen!$G$7:$G$19,Schwierigkeitsstufen!$H$7:$H$19)))</f>
        <v/>
      </c>
      <c r="AC666" s="250" t="str">
        <f>IF((($A666="")*($B666=""))+((MID($Y666,1,4)&lt;&gt;"Wahl")*(Deckblatt!$C$14='WK-Vorlagen'!$C$82))+(Deckblatt!$C$14&lt;&gt;'WK-Vorlagen'!$C$82),"",IF(ISERROR(MATCH(VALUE(MID(I666,1,2)),Schwierigkeitsstufen!$G$7:$G$19,0)),"Gerät falsch",LOOKUP(VALUE(MID(I666,1,2)),Schwierigkeitsstufen!$G$7:$G$19,Schwierigkeitsstufen!$H$7:$H$19)))</f>
        <v/>
      </c>
      <c r="AD666" s="251" t="str">
        <f>IF((($A666="")*($B666=""))+((MID($Y666,1,4)&lt;&gt;"Wahl")*(Deckblatt!$C$14='WK-Vorlagen'!$C$82))+(Deckblatt!$C$14&lt;&gt;'WK-Vorlagen'!$C$82),"",IF(ISERROR(MATCH(VALUE(MID(J666,1,2)),Schwierigkeitsstufen!$G$7:$G$19,0)),"Gerät falsch",LOOKUP(VALUE(MID(J666,1,2)),Schwierigkeitsstufen!$G$7:$G$19,Schwierigkeitsstufen!$H$7:$H$19)))</f>
        <v/>
      </c>
      <c r="AE666" s="211"/>
      <c r="AG666" s="221" t="str">
        <f t="shared" si="90"/>
        <v/>
      </c>
      <c r="AH666" s="222" t="str">
        <f t="shared" si="92"/>
        <v/>
      </c>
      <c r="AI666" s="220">
        <f t="shared" si="97"/>
        <v>4</v>
      </c>
      <c r="AJ666" s="222">
        <f t="shared" si="93"/>
        <v>0</v>
      </c>
      <c r="AK666" s="299" t="str">
        <f>IF(ISERROR(LOOKUP(E666,WKNrListe,Übersicht!$R$7:$R$46)),"-",LOOKUP(E666,WKNrListe,Übersicht!$R$7:$R$46))</f>
        <v>-</v>
      </c>
      <c r="AL666" s="299" t="str">
        <f t="shared" si="96"/>
        <v>-</v>
      </c>
      <c r="AM666" s="303"/>
      <c r="AN666" s="174" t="str">
        <f t="shared" si="89"/>
        <v>Leer</v>
      </c>
    </row>
    <row r="667" spans="1:40" s="174" customFormat="1" ht="15" customHeight="1">
      <c r="A667" s="63"/>
      <c r="B667" s="63"/>
      <c r="C667" s="84"/>
      <c r="D667" s="85"/>
      <c r="E667" s="62"/>
      <c r="F667" s="62"/>
      <c r="G667" s="62"/>
      <c r="H667" s="62"/>
      <c r="I667" s="62"/>
      <c r="J667" s="62"/>
      <c r="K667" s="62"/>
      <c r="L667" s="62"/>
      <c r="M667" s="62"/>
      <c r="N667" s="62"/>
      <c r="O667" s="62"/>
      <c r="P667" s="62"/>
      <c r="Q667" s="62"/>
      <c r="R667" s="62"/>
      <c r="S667" s="258"/>
      <c r="T667" s="248" t="str">
        <f t="shared" si="94"/>
        <v/>
      </c>
      <c r="U667" s="249" t="str">
        <f t="shared" si="95"/>
        <v/>
      </c>
      <c r="V667" s="294" t="str">
        <f t="shared" si="91"/>
        <v/>
      </c>
      <c r="W667" s="294" t="str">
        <f>IF(((E667="")+(F667="")),"",IF(VLOOKUP(F667,Mannschaften!$A$1:$B$54,2,FALSE)&lt;&gt;E667,"Reiter Mannschaften füllen",""))</f>
        <v/>
      </c>
      <c r="X667" s="248" t="str">
        <f>IF(ISBLANK(C667),"",IF((U667&gt;(LOOKUP(E667,WKNrListe,Übersicht!$O$7:$O$46)))+(U667&lt;(LOOKUP(E667,WKNrListe,Übersicht!$P$7:$P$46))),"JG falsch",""))</f>
        <v/>
      </c>
      <c r="Y667" s="255" t="str">
        <f>IF((A667="")*(B667=""),"",IF(ISERROR(MATCH(E667,WKNrListe,0)),"WK falsch",LOOKUP(E667,WKNrListe,Übersicht!$B$7:$B$46)))</f>
        <v/>
      </c>
      <c r="Z667" s="269" t="str">
        <f>IF(((AJ667=0)*(AH667&lt;&gt;"")*(AK667="-"))+((AJ667&lt;&gt;0)*(AH667&lt;&gt;"")*(AK667="-")),IF(AG667="X",Übersicht!$C$70,Übersicht!$C$69),"-")</f>
        <v>-</v>
      </c>
      <c r="AA667" s="252" t="str">
        <f>IF((($A667="")*($B667=""))+((MID($Y667,1,4)&lt;&gt;"Wahl")*(Deckblatt!$C$14='WK-Vorlagen'!$C$82))+(Deckblatt!$C$14&lt;&gt;'WK-Vorlagen'!$C$82),"",IF(ISERROR(MATCH(VALUE(MID(G667,1,2)),Schwierigkeitsstufen!$G$7:$G$19,0)),"Gerät falsch",LOOKUP(VALUE(MID(G667,1,2)),Schwierigkeitsstufen!$G$7:$G$19,Schwierigkeitsstufen!$H$7:$H$19)))</f>
        <v/>
      </c>
      <c r="AB667" s="250" t="str">
        <f>IF((($A667="")*($B667=""))+((MID($Y667,1,4)&lt;&gt;"Wahl")*(Deckblatt!$C$14='WK-Vorlagen'!$C$82))+(Deckblatt!$C$14&lt;&gt;'WK-Vorlagen'!$C$82),"",IF(ISERROR(MATCH(VALUE(MID(H667,1,2)),Schwierigkeitsstufen!$G$7:$G$19,0)),"Gerät falsch",LOOKUP(VALUE(MID(H667,1,2)),Schwierigkeitsstufen!$G$7:$G$19,Schwierigkeitsstufen!$H$7:$H$19)))</f>
        <v/>
      </c>
      <c r="AC667" s="250" t="str">
        <f>IF((($A667="")*($B667=""))+((MID($Y667,1,4)&lt;&gt;"Wahl")*(Deckblatt!$C$14='WK-Vorlagen'!$C$82))+(Deckblatt!$C$14&lt;&gt;'WK-Vorlagen'!$C$82),"",IF(ISERROR(MATCH(VALUE(MID(I667,1,2)),Schwierigkeitsstufen!$G$7:$G$19,0)),"Gerät falsch",LOOKUP(VALUE(MID(I667,1,2)),Schwierigkeitsstufen!$G$7:$G$19,Schwierigkeitsstufen!$H$7:$H$19)))</f>
        <v/>
      </c>
      <c r="AD667" s="251" t="str">
        <f>IF((($A667="")*($B667=""))+((MID($Y667,1,4)&lt;&gt;"Wahl")*(Deckblatt!$C$14='WK-Vorlagen'!$C$82))+(Deckblatt!$C$14&lt;&gt;'WK-Vorlagen'!$C$82),"",IF(ISERROR(MATCH(VALUE(MID(J667,1,2)),Schwierigkeitsstufen!$G$7:$G$19,0)),"Gerät falsch",LOOKUP(VALUE(MID(J667,1,2)),Schwierigkeitsstufen!$G$7:$G$19,Schwierigkeitsstufen!$H$7:$H$19)))</f>
        <v/>
      </c>
      <c r="AE667" s="211"/>
      <c r="AG667" s="221" t="str">
        <f t="shared" si="90"/>
        <v/>
      </c>
      <c r="AH667" s="222" t="str">
        <f t="shared" si="92"/>
        <v/>
      </c>
      <c r="AI667" s="220">
        <f t="shared" si="97"/>
        <v>4</v>
      </c>
      <c r="AJ667" s="222">
        <f t="shared" si="93"/>
        <v>0</v>
      </c>
      <c r="AK667" s="299" t="str">
        <f>IF(ISERROR(LOOKUP(E667,WKNrListe,Übersicht!$R$7:$R$46)),"-",LOOKUP(E667,WKNrListe,Übersicht!$R$7:$R$46))</f>
        <v>-</v>
      </c>
      <c r="AL667" s="299" t="str">
        <f t="shared" si="96"/>
        <v>-</v>
      </c>
      <c r="AM667" s="303"/>
      <c r="AN667" s="174" t="str">
        <f t="shared" si="89"/>
        <v>Leer</v>
      </c>
    </row>
    <row r="668" spans="1:40" s="174" customFormat="1" ht="15" customHeight="1">
      <c r="A668" s="63"/>
      <c r="B668" s="63"/>
      <c r="C668" s="84"/>
      <c r="D668" s="85"/>
      <c r="E668" s="62"/>
      <c r="F668" s="62"/>
      <c r="G668" s="62"/>
      <c r="H668" s="62"/>
      <c r="I668" s="62"/>
      <c r="J668" s="62"/>
      <c r="K668" s="62"/>
      <c r="L668" s="62"/>
      <c r="M668" s="62"/>
      <c r="N668" s="62"/>
      <c r="O668" s="62"/>
      <c r="P668" s="62"/>
      <c r="Q668" s="62"/>
      <c r="R668" s="62"/>
      <c r="S668" s="258"/>
      <c r="T668" s="248" t="str">
        <f t="shared" si="94"/>
        <v/>
      </c>
      <c r="U668" s="249" t="str">
        <f t="shared" si="95"/>
        <v/>
      </c>
      <c r="V668" s="294" t="str">
        <f t="shared" si="91"/>
        <v/>
      </c>
      <c r="W668" s="294" t="str">
        <f>IF(((E668="")+(F668="")),"",IF(VLOOKUP(F668,Mannschaften!$A$1:$B$54,2,FALSE)&lt;&gt;E668,"Reiter Mannschaften füllen",""))</f>
        <v/>
      </c>
      <c r="X668" s="248" t="str">
        <f>IF(ISBLANK(C668),"",IF((U668&gt;(LOOKUP(E668,WKNrListe,Übersicht!$O$7:$O$46)))+(U668&lt;(LOOKUP(E668,WKNrListe,Übersicht!$P$7:$P$46))),"JG falsch",""))</f>
        <v/>
      </c>
      <c r="Y668" s="255" t="str">
        <f>IF((A668="")*(B668=""),"",IF(ISERROR(MATCH(E668,WKNrListe,0)),"WK falsch",LOOKUP(E668,WKNrListe,Übersicht!$B$7:$B$46)))</f>
        <v/>
      </c>
      <c r="Z668" s="269" t="str">
        <f>IF(((AJ668=0)*(AH668&lt;&gt;"")*(AK668="-"))+((AJ668&lt;&gt;0)*(AH668&lt;&gt;"")*(AK668="-")),IF(AG668="X",Übersicht!$C$70,Übersicht!$C$69),"-")</f>
        <v>-</v>
      </c>
      <c r="AA668" s="252" t="str">
        <f>IF((($A668="")*($B668=""))+((MID($Y668,1,4)&lt;&gt;"Wahl")*(Deckblatt!$C$14='WK-Vorlagen'!$C$82))+(Deckblatt!$C$14&lt;&gt;'WK-Vorlagen'!$C$82),"",IF(ISERROR(MATCH(VALUE(MID(G668,1,2)),Schwierigkeitsstufen!$G$7:$G$19,0)),"Gerät falsch",LOOKUP(VALUE(MID(G668,1,2)),Schwierigkeitsstufen!$G$7:$G$19,Schwierigkeitsstufen!$H$7:$H$19)))</f>
        <v/>
      </c>
      <c r="AB668" s="250" t="str">
        <f>IF((($A668="")*($B668=""))+((MID($Y668,1,4)&lt;&gt;"Wahl")*(Deckblatt!$C$14='WK-Vorlagen'!$C$82))+(Deckblatt!$C$14&lt;&gt;'WK-Vorlagen'!$C$82),"",IF(ISERROR(MATCH(VALUE(MID(H668,1,2)),Schwierigkeitsstufen!$G$7:$G$19,0)),"Gerät falsch",LOOKUP(VALUE(MID(H668,1,2)),Schwierigkeitsstufen!$G$7:$G$19,Schwierigkeitsstufen!$H$7:$H$19)))</f>
        <v/>
      </c>
      <c r="AC668" s="250" t="str">
        <f>IF((($A668="")*($B668=""))+((MID($Y668,1,4)&lt;&gt;"Wahl")*(Deckblatt!$C$14='WK-Vorlagen'!$C$82))+(Deckblatt!$C$14&lt;&gt;'WK-Vorlagen'!$C$82),"",IF(ISERROR(MATCH(VALUE(MID(I668,1,2)),Schwierigkeitsstufen!$G$7:$G$19,0)),"Gerät falsch",LOOKUP(VALUE(MID(I668,1,2)),Schwierigkeitsstufen!$G$7:$G$19,Schwierigkeitsstufen!$H$7:$H$19)))</f>
        <v/>
      </c>
      <c r="AD668" s="251" t="str">
        <f>IF((($A668="")*($B668=""))+((MID($Y668,1,4)&lt;&gt;"Wahl")*(Deckblatt!$C$14='WK-Vorlagen'!$C$82))+(Deckblatt!$C$14&lt;&gt;'WK-Vorlagen'!$C$82),"",IF(ISERROR(MATCH(VALUE(MID(J668,1,2)),Schwierigkeitsstufen!$G$7:$G$19,0)),"Gerät falsch",LOOKUP(VALUE(MID(J668,1,2)),Schwierigkeitsstufen!$G$7:$G$19,Schwierigkeitsstufen!$H$7:$H$19)))</f>
        <v/>
      </c>
      <c r="AE668" s="211"/>
      <c r="AG668" s="221" t="str">
        <f t="shared" si="90"/>
        <v/>
      </c>
      <c r="AH668" s="222" t="str">
        <f t="shared" si="92"/>
        <v/>
      </c>
      <c r="AI668" s="220">
        <f t="shared" si="97"/>
        <v>4</v>
      </c>
      <c r="AJ668" s="222">
        <f t="shared" si="93"/>
        <v>0</v>
      </c>
      <c r="AK668" s="299" t="str">
        <f>IF(ISERROR(LOOKUP(E668,WKNrListe,Übersicht!$R$7:$R$46)),"-",LOOKUP(E668,WKNrListe,Übersicht!$R$7:$R$46))</f>
        <v>-</v>
      </c>
      <c r="AL668" s="299" t="str">
        <f t="shared" si="96"/>
        <v>-</v>
      </c>
      <c r="AM668" s="303"/>
      <c r="AN668" s="174" t="str">
        <f t="shared" si="89"/>
        <v>Leer</v>
      </c>
    </row>
    <row r="669" spans="1:40" s="174" customFormat="1" ht="15" customHeight="1">
      <c r="A669" s="63"/>
      <c r="B669" s="63"/>
      <c r="C669" s="84"/>
      <c r="D669" s="85"/>
      <c r="E669" s="62"/>
      <c r="F669" s="62"/>
      <c r="G669" s="62"/>
      <c r="H669" s="62"/>
      <c r="I669" s="62"/>
      <c r="J669" s="62"/>
      <c r="K669" s="62"/>
      <c r="L669" s="62"/>
      <c r="M669" s="62"/>
      <c r="N669" s="62"/>
      <c r="O669" s="62"/>
      <c r="P669" s="62"/>
      <c r="Q669" s="62"/>
      <c r="R669" s="62"/>
      <c r="S669" s="258"/>
      <c r="T669" s="248" t="str">
        <f t="shared" si="94"/>
        <v/>
      </c>
      <c r="U669" s="249" t="str">
        <f t="shared" si="95"/>
        <v/>
      </c>
      <c r="V669" s="294" t="str">
        <f t="shared" si="91"/>
        <v/>
      </c>
      <c r="W669" s="294" t="str">
        <f>IF(((E669="")+(F669="")),"",IF(VLOOKUP(F669,Mannschaften!$A$1:$B$54,2,FALSE)&lt;&gt;E669,"Reiter Mannschaften füllen",""))</f>
        <v/>
      </c>
      <c r="X669" s="248" t="str">
        <f>IF(ISBLANK(C669),"",IF((U669&gt;(LOOKUP(E669,WKNrListe,Übersicht!$O$7:$O$46)))+(U669&lt;(LOOKUP(E669,WKNrListe,Übersicht!$P$7:$P$46))),"JG falsch",""))</f>
        <v/>
      </c>
      <c r="Y669" s="255" t="str">
        <f>IF((A669="")*(B669=""),"",IF(ISERROR(MATCH(E669,WKNrListe,0)),"WK falsch",LOOKUP(E669,WKNrListe,Übersicht!$B$7:$B$46)))</f>
        <v/>
      </c>
      <c r="Z669" s="269" t="str">
        <f>IF(((AJ669=0)*(AH669&lt;&gt;"")*(AK669="-"))+((AJ669&lt;&gt;0)*(AH669&lt;&gt;"")*(AK669="-")),IF(AG669="X",Übersicht!$C$70,Übersicht!$C$69),"-")</f>
        <v>-</v>
      </c>
      <c r="AA669" s="252" t="str">
        <f>IF((($A669="")*($B669=""))+((MID($Y669,1,4)&lt;&gt;"Wahl")*(Deckblatt!$C$14='WK-Vorlagen'!$C$82))+(Deckblatt!$C$14&lt;&gt;'WK-Vorlagen'!$C$82),"",IF(ISERROR(MATCH(VALUE(MID(G669,1,2)),Schwierigkeitsstufen!$G$7:$G$19,0)),"Gerät falsch",LOOKUP(VALUE(MID(G669,1,2)),Schwierigkeitsstufen!$G$7:$G$19,Schwierigkeitsstufen!$H$7:$H$19)))</f>
        <v/>
      </c>
      <c r="AB669" s="250" t="str">
        <f>IF((($A669="")*($B669=""))+((MID($Y669,1,4)&lt;&gt;"Wahl")*(Deckblatt!$C$14='WK-Vorlagen'!$C$82))+(Deckblatt!$C$14&lt;&gt;'WK-Vorlagen'!$C$82),"",IF(ISERROR(MATCH(VALUE(MID(H669,1,2)),Schwierigkeitsstufen!$G$7:$G$19,0)),"Gerät falsch",LOOKUP(VALUE(MID(H669,1,2)),Schwierigkeitsstufen!$G$7:$G$19,Schwierigkeitsstufen!$H$7:$H$19)))</f>
        <v/>
      </c>
      <c r="AC669" s="250" t="str">
        <f>IF((($A669="")*($B669=""))+((MID($Y669,1,4)&lt;&gt;"Wahl")*(Deckblatt!$C$14='WK-Vorlagen'!$C$82))+(Deckblatt!$C$14&lt;&gt;'WK-Vorlagen'!$C$82),"",IF(ISERROR(MATCH(VALUE(MID(I669,1,2)),Schwierigkeitsstufen!$G$7:$G$19,0)),"Gerät falsch",LOOKUP(VALUE(MID(I669,1,2)),Schwierigkeitsstufen!$G$7:$G$19,Schwierigkeitsstufen!$H$7:$H$19)))</f>
        <v/>
      </c>
      <c r="AD669" s="251" t="str">
        <f>IF((($A669="")*($B669=""))+((MID($Y669,1,4)&lt;&gt;"Wahl")*(Deckblatt!$C$14='WK-Vorlagen'!$C$82))+(Deckblatt!$C$14&lt;&gt;'WK-Vorlagen'!$C$82),"",IF(ISERROR(MATCH(VALUE(MID(J669,1,2)),Schwierigkeitsstufen!$G$7:$G$19,0)),"Gerät falsch",LOOKUP(VALUE(MID(J669,1,2)),Schwierigkeitsstufen!$G$7:$G$19,Schwierigkeitsstufen!$H$7:$H$19)))</f>
        <v/>
      </c>
      <c r="AE669" s="211"/>
      <c r="AG669" s="221" t="str">
        <f t="shared" si="90"/>
        <v/>
      </c>
      <c r="AH669" s="222" t="str">
        <f t="shared" si="92"/>
        <v/>
      </c>
      <c r="AI669" s="220">
        <f t="shared" si="97"/>
        <v>4</v>
      </c>
      <c r="AJ669" s="222">
        <f t="shared" si="93"/>
        <v>0</v>
      </c>
      <c r="AK669" s="299" t="str">
        <f>IF(ISERROR(LOOKUP(E669,WKNrListe,Übersicht!$R$7:$R$46)),"-",LOOKUP(E669,WKNrListe,Übersicht!$R$7:$R$46))</f>
        <v>-</v>
      </c>
      <c r="AL669" s="299" t="str">
        <f t="shared" si="96"/>
        <v>-</v>
      </c>
      <c r="AM669" s="303"/>
      <c r="AN669" s="174" t="str">
        <f t="shared" si="89"/>
        <v>Leer</v>
      </c>
    </row>
    <row r="670" spans="1:40" s="174" customFormat="1" ht="15" customHeight="1">
      <c r="A670" s="63"/>
      <c r="B670" s="63"/>
      <c r="C670" s="84"/>
      <c r="D670" s="85"/>
      <c r="E670" s="62"/>
      <c r="F670" s="62"/>
      <c r="G670" s="62"/>
      <c r="H670" s="62"/>
      <c r="I670" s="62"/>
      <c r="J670" s="62"/>
      <c r="K670" s="62"/>
      <c r="L670" s="62"/>
      <c r="M670" s="62"/>
      <c r="N670" s="62"/>
      <c r="O670" s="62"/>
      <c r="P670" s="62"/>
      <c r="Q670" s="62"/>
      <c r="R670" s="62"/>
      <c r="S670" s="258"/>
      <c r="T670" s="248" t="str">
        <f t="shared" si="94"/>
        <v/>
      </c>
      <c r="U670" s="249" t="str">
        <f t="shared" si="95"/>
        <v/>
      </c>
      <c r="V670" s="294" t="str">
        <f t="shared" si="91"/>
        <v/>
      </c>
      <c r="W670" s="294" t="str">
        <f>IF(((E670="")+(F670="")),"",IF(VLOOKUP(F670,Mannschaften!$A$1:$B$54,2,FALSE)&lt;&gt;E670,"Reiter Mannschaften füllen",""))</f>
        <v/>
      </c>
      <c r="X670" s="248" t="str">
        <f>IF(ISBLANK(C670),"",IF((U670&gt;(LOOKUP(E670,WKNrListe,Übersicht!$O$7:$O$46)))+(U670&lt;(LOOKUP(E670,WKNrListe,Übersicht!$P$7:$P$46))),"JG falsch",""))</f>
        <v/>
      </c>
      <c r="Y670" s="255" t="str">
        <f>IF((A670="")*(B670=""),"",IF(ISERROR(MATCH(E670,WKNrListe,0)),"WK falsch",LOOKUP(E670,WKNrListe,Übersicht!$B$7:$B$46)))</f>
        <v/>
      </c>
      <c r="Z670" s="269" t="str">
        <f>IF(((AJ670=0)*(AH670&lt;&gt;"")*(AK670="-"))+((AJ670&lt;&gt;0)*(AH670&lt;&gt;"")*(AK670="-")),IF(AG670="X",Übersicht!$C$70,Übersicht!$C$69),"-")</f>
        <v>-</v>
      </c>
      <c r="AA670" s="252" t="str">
        <f>IF((($A670="")*($B670=""))+((MID($Y670,1,4)&lt;&gt;"Wahl")*(Deckblatt!$C$14='WK-Vorlagen'!$C$82))+(Deckblatt!$C$14&lt;&gt;'WK-Vorlagen'!$C$82),"",IF(ISERROR(MATCH(VALUE(MID(G670,1,2)),Schwierigkeitsstufen!$G$7:$G$19,0)),"Gerät falsch",LOOKUP(VALUE(MID(G670,1,2)),Schwierigkeitsstufen!$G$7:$G$19,Schwierigkeitsstufen!$H$7:$H$19)))</f>
        <v/>
      </c>
      <c r="AB670" s="250" t="str">
        <f>IF((($A670="")*($B670=""))+((MID($Y670,1,4)&lt;&gt;"Wahl")*(Deckblatt!$C$14='WK-Vorlagen'!$C$82))+(Deckblatt!$C$14&lt;&gt;'WK-Vorlagen'!$C$82),"",IF(ISERROR(MATCH(VALUE(MID(H670,1,2)),Schwierigkeitsstufen!$G$7:$G$19,0)),"Gerät falsch",LOOKUP(VALUE(MID(H670,1,2)),Schwierigkeitsstufen!$G$7:$G$19,Schwierigkeitsstufen!$H$7:$H$19)))</f>
        <v/>
      </c>
      <c r="AC670" s="250" t="str">
        <f>IF((($A670="")*($B670=""))+((MID($Y670,1,4)&lt;&gt;"Wahl")*(Deckblatt!$C$14='WK-Vorlagen'!$C$82))+(Deckblatt!$C$14&lt;&gt;'WK-Vorlagen'!$C$82),"",IF(ISERROR(MATCH(VALUE(MID(I670,1,2)),Schwierigkeitsstufen!$G$7:$G$19,0)),"Gerät falsch",LOOKUP(VALUE(MID(I670,1,2)),Schwierigkeitsstufen!$G$7:$G$19,Schwierigkeitsstufen!$H$7:$H$19)))</f>
        <v/>
      </c>
      <c r="AD670" s="251" t="str">
        <f>IF((($A670="")*($B670=""))+((MID($Y670,1,4)&lt;&gt;"Wahl")*(Deckblatt!$C$14='WK-Vorlagen'!$C$82))+(Deckblatt!$C$14&lt;&gt;'WK-Vorlagen'!$C$82),"",IF(ISERROR(MATCH(VALUE(MID(J670,1,2)),Schwierigkeitsstufen!$G$7:$G$19,0)),"Gerät falsch",LOOKUP(VALUE(MID(J670,1,2)),Schwierigkeitsstufen!$G$7:$G$19,Schwierigkeitsstufen!$H$7:$H$19)))</f>
        <v/>
      </c>
      <c r="AE670" s="211"/>
      <c r="AG670" s="221" t="str">
        <f t="shared" si="90"/>
        <v/>
      </c>
      <c r="AH670" s="222" t="str">
        <f t="shared" si="92"/>
        <v/>
      </c>
      <c r="AI670" s="220">
        <f t="shared" si="97"/>
        <v>4</v>
      </c>
      <c r="AJ670" s="222">
        <f t="shared" si="93"/>
        <v>0</v>
      </c>
      <c r="AK670" s="299" t="str">
        <f>IF(ISERROR(LOOKUP(E670,WKNrListe,Übersicht!$R$7:$R$46)),"-",LOOKUP(E670,WKNrListe,Übersicht!$R$7:$R$46))</f>
        <v>-</v>
      </c>
      <c r="AL670" s="299" t="str">
        <f t="shared" si="96"/>
        <v>-</v>
      </c>
      <c r="AM670" s="303"/>
      <c r="AN670" s="174" t="str">
        <f t="shared" si="89"/>
        <v>Leer</v>
      </c>
    </row>
    <row r="671" spans="1:40" s="174" customFormat="1" ht="15" customHeight="1">
      <c r="A671" s="63"/>
      <c r="B671" s="63"/>
      <c r="C671" s="84"/>
      <c r="D671" s="85"/>
      <c r="E671" s="62"/>
      <c r="F671" s="62"/>
      <c r="G671" s="62"/>
      <c r="H671" s="62"/>
      <c r="I671" s="62"/>
      <c r="J671" s="62"/>
      <c r="K671" s="62"/>
      <c r="L671" s="62"/>
      <c r="M671" s="62"/>
      <c r="N671" s="62"/>
      <c r="O671" s="62"/>
      <c r="P671" s="62"/>
      <c r="Q671" s="62"/>
      <c r="R671" s="62"/>
      <c r="S671" s="258"/>
      <c r="T671" s="248" t="str">
        <f t="shared" si="94"/>
        <v/>
      </c>
      <c r="U671" s="249" t="str">
        <f t="shared" si="95"/>
        <v/>
      </c>
      <c r="V671" s="294" t="str">
        <f t="shared" si="91"/>
        <v/>
      </c>
      <c r="W671" s="294" t="str">
        <f>IF(((E671="")+(F671="")),"",IF(VLOOKUP(F671,Mannschaften!$A$1:$B$54,2,FALSE)&lt;&gt;E671,"Reiter Mannschaften füllen",""))</f>
        <v/>
      </c>
      <c r="X671" s="248" t="str">
        <f>IF(ISBLANK(C671),"",IF((U671&gt;(LOOKUP(E671,WKNrListe,Übersicht!$O$7:$O$46)))+(U671&lt;(LOOKUP(E671,WKNrListe,Übersicht!$P$7:$P$46))),"JG falsch",""))</f>
        <v/>
      </c>
      <c r="Y671" s="255" t="str">
        <f>IF((A671="")*(B671=""),"",IF(ISERROR(MATCH(E671,WKNrListe,0)),"WK falsch",LOOKUP(E671,WKNrListe,Übersicht!$B$7:$B$46)))</f>
        <v/>
      </c>
      <c r="Z671" s="269" t="str">
        <f>IF(((AJ671=0)*(AH671&lt;&gt;"")*(AK671="-"))+((AJ671&lt;&gt;0)*(AH671&lt;&gt;"")*(AK671="-")),IF(AG671="X",Übersicht!$C$70,Übersicht!$C$69),"-")</f>
        <v>-</v>
      </c>
      <c r="AA671" s="252" t="str">
        <f>IF((($A671="")*($B671=""))+((MID($Y671,1,4)&lt;&gt;"Wahl")*(Deckblatt!$C$14='WK-Vorlagen'!$C$82))+(Deckblatt!$C$14&lt;&gt;'WK-Vorlagen'!$C$82),"",IF(ISERROR(MATCH(VALUE(MID(G671,1,2)),Schwierigkeitsstufen!$G$7:$G$19,0)),"Gerät falsch",LOOKUP(VALUE(MID(G671,1,2)),Schwierigkeitsstufen!$G$7:$G$19,Schwierigkeitsstufen!$H$7:$H$19)))</f>
        <v/>
      </c>
      <c r="AB671" s="250" t="str">
        <f>IF((($A671="")*($B671=""))+((MID($Y671,1,4)&lt;&gt;"Wahl")*(Deckblatt!$C$14='WK-Vorlagen'!$C$82))+(Deckblatt!$C$14&lt;&gt;'WK-Vorlagen'!$C$82),"",IF(ISERROR(MATCH(VALUE(MID(H671,1,2)),Schwierigkeitsstufen!$G$7:$G$19,0)),"Gerät falsch",LOOKUP(VALUE(MID(H671,1,2)),Schwierigkeitsstufen!$G$7:$G$19,Schwierigkeitsstufen!$H$7:$H$19)))</f>
        <v/>
      </c>
      <c r="AC671" s="250" t="str">
        <f>IF((($A671="")*($B671=""))+((MID($Y671,1,4)&lt;&gt;"Wahl")*(Deckblatt!$C$14='WK-Vorlagen'!$C$82))+(Deckblatt!$C$14&lt;&gt;'WK-Vorlagen'!$C$82),"",IF(ISERROR(MATCH(VALUE(MID(I671,1,2)),Schwierigkeitsstufen!$G$7:$G$19,0)),"Gerät falsch",LOOKUP(VALUE(MID(I671,1,2)),Schwierigkeitsstufen!$G$7:$G$19,Schwierigkeitsstufen!$H$7:$H$19)))</f>
        <v/>
      </c>
      <c r="AD671" s="251" t="str">
        <f>IF((($A671="")*($B671=""))+((MID($Y671,1,4)&lt;&gt;"Wahl")*(Deckblatt!$C$14='WK-Vorlagen'!$C$82))+(Deckblatt!$C$14&lt;&gt;'WK-Vorlagen'!$C$82),"",IF(ISERROR(MATCH(VALUE(MID(J671,1,2)),Schwierigkeitsstufen!$G$7:$G$19,0)),"Gerät falsch",LOOKUP(VALUE(MID(J671,1,2)),Schwierigkeitsstufen!$G$7:$G$19,Schwierigkeitsstufen!$H$7:$H$19)))</f>
        <v/>
      </c>
      <c r="AE671" s="211"/>
      <c r="AG671" s="221" t="str">
        <f t="shared" si="90"/>
        <v/>
      </c>
      <c r="AH671" s="222" t="str">
        <f t="shared" si="92"/>
        <v/>
      </c>
      <c r="AI671" s="220">
        <f t="shared" si="97"/>
        <v>4</v>
      </c>
      <c r="AJ671" s="222">
        <f t="shared" si="93"/>
        <v>0</v>
      </c>
      <c r="AK671" s="299" t="str">
        <f>IF(ISERROR(LOOKUP(E671,WKNrListe,Übersicht!$R$7:$R$46)),"-",LOOKUP(E671,WKNrListe,Übersicht!$R$7:$R$46))</f>
        <v>-</v>
      </c>
      <c r="AL671" s="299" t="str">
        <f t="shared" si="96"/>
        <v>-</v>
      </c>
      <c r="AM671" s="303"/>
      <c r="AN671" s="174" t="str">
        <f t="shared" si="89"/>
        <v>Leer</v>
      </c>
    </row>
    <row r="672" spans="1:40" s="174" customFormat="1" ht="15" customHeight="1">
      <c r="A672" s="63"/>
      <c r="B672" s="63"/>
      <c r="C672" s="84"/>
      <c r="D672" s="85"/>
      <c r="E672" s="62"/>
      <c r="F672" s="62"/>
      <c r="G672" s="62"/>
      <c r="H672" s="62"/>
      <c r="I672" s="62"/>
      <c r="J672" s="62"/>
      <c r="K672" s="62"/>
      <c r="L672" s="62"/>
      <c r="M672" s="62"/>
      <c r="N672" s="62"/>
      <c r="O672" s="62"/>
      <c r="P672" s="62"/>
      <c r="Q672" s="62"/>
      <c r="R672" s="62"/>
      <c r="S672" s="258"/>
      <c r="T672" s="248" t="str">
        <f t="shared" si="94"/>
        <v/>
      </c>
      <c r="U672" s="249" t="str">
        <f t="shared" si="95"/>
        <v/>
      </c>
      <c r="V672" s="294" t="str">
        <f t="shared" si="91"/>
        <v/>
      </c>
      <c r="W672" s="294" t="str">
        <f>IF(((E672="")+(F672="")),"",IF(VLOOKUP(F672,Mannschaften!$A$1:$B$54,2,FALSE)&lt;&gt;E672,"Reiter Mannschaften füllen",""))</f>
        <v/>
      </c>
      <c r="X672" s="248" t="str">
        <f>IF(ISBLANK(C672),"",IF((U672&gt;(LOOKUP(E672,WKNrListe,Übersicht!$O$7:$O$46)))+(U672&lt;(LOOKUP(E672,WKNrListe,Übersicht!$P$7:$P$46))),"JG falsch",""))</f>
        <v/>
      </c>
      <c r="Y672" s="255" t="str">
        <f>IF((A672="")*(B672=""),"",IF(ISERROR(MATCH(E672,WKNrListe,0)),"WK falsch",LOOKUP(E672,WKNrListe,Übersicht!$B$7:$B$46)))</f>
        <v/>
      </c>
      <c r="Z672" s="269" t="str">
        <f>IF(((AJ672=0)*(AH672&lt;&gt;"")*(AK672="-"))+((AJ672&lt;&gt;0)*(AH672&lt;&gt;"")*(AK672="-")),IF(AG672="X",Übersicht!$C$70,Übersicht!$C$69),"-")</f>
        <v>-</v>
      </c>
      <c r="AA672" s="252" t="str">
        <f>IF((($A672="")*($B672=""))+((MID($Y672,1,4)&lt;&gt;"Wahl")*(Deckblatt!$C$14='WK-Vorlagen'!$C$82))+(Deckblatt!$C$14&lt;&gt;'WK-Vorlagen'!$C$82),"",IF(ISERROR(MATCH(VALUE(MID(G672,1,2)),Schwierigkeitsstufen!$G$7:$G$19,0)),"Gerät falsch",LOOKUP(VALUE(MID(G672,1,2)),Schwierigkeitsstufen!$G$7:$G$19,Schwierigkeitsstufen!$H$7:$H$19)))</f>
        <v/>
      </c>
      <c r="AB672" s="250" t="str">
        <f>IF((($A672="")*($B672=""))+((MID($Y672,1,4)&lt;&gt;"Wahl")*(Deckblatt!$C$14='WK-Vorlagen'!$C$82))+(Deckblatt!$C$14&lt;&gt;'WK-Vorlagen'!$C$82),"",IF(ISERROR(MATCH(VALUE(MID(H672,1,2)),Schwierigkeitsstufen!$G$7:$G$19,0)),"Gerät falsch",LOOKUP(VALUE(MID(H672,1,2)),Schwierigkeitsstufen!$G$7:$G$19,Schwierigkeitsstufen!$H$7:$H$19)))</f>
        <v/>
      </c>
      <c r="AC672" s="250" t="str">
        <f>IF((($A672="")*($B672=""))+((MID($Y672,1,4)&lt;&gt;"Wahl")*(Deckblatt!$C$14='WK-Vorlagen'!$C$82))+(Deckblatt!$C$14&lt;&gt;'WK-Vorlagen'!$C$82),"",IF(ISERROR(MATCH(VALUE(MID(I672,1,2)),Schwierigkeitsstufen!$G$7:$G$19,0)),"Gerät falsch",LOOKUP(VALUE(MID(I672,1,2)),Schwierigkeitsstufen!$G$7:$G$19,Schwierigkeitsstufen!$H$7:$H$19)))</f>
        <v/>
      </c>
      <c r="AD672" s="251" t="str">
        <f>IF((($A672="")*($B672=""))+((MID($Y672,1,4)&lt;&gt;"Wahl")*(Deckblatt!$C$14='WK-Vorlagen'!$C$82))+(Deckblatt!$C$14&lt;&gt;'WK-Vorlagen'!$C$82),"",IF(ISERROR(MATCH(VALUE(MID(J672,1,2)),Schwierigkeitsstufen!$G$7:$G$19,0)),"Gerät falsch",LOOKUP(VALUE(MID(J672,1,2)),Schwierigkeitsstufen!$G$7:$G$19,Schwierigkeitsstufen!$H$7:$H$19)))</f>
        <v/>
      </c>
      <c r="AE672" s="211"/>
      <c r="AG672" s="221" t="str">
        <f t="shared" si="90"/>
        <v/>
      </c>
      <c r="AH672" s="222" t="str">
        <f t="shared" si="92"/>
        <v/>
      </c>
      <c r="AI672" s="220">
        <f t="shared" si="97"/>
        <v>4</v>
      </c>
      <c r="AJ672" s="222">
        <f t="shared" si="93"/>
        <v>0</v>
      </c>
      <c r="AK672" s="299" t="str">
        <f>IF(ISERROR(LOOKUP(E672,WKNrListe,Übersicht!$R$7:$R$46)),"-",LOOKUP(E672,WKNrListe,Übersicht!$R$7:$R$46))</f>
        <v>-</v>
      </c>
      <c r="AL672" s="299" t="str">
        <f t="shared" si="96"/>
        <v>-</v>
      </c>
      <c r="AM672" s="303"/>
      <c r="AN672" s="174" t="str">
        <f t="shared" si="89"/>
        <v>Leer</v>
      </c>
    </row>
    <row r="673" spans="1:40" s="174" customFormat="1" ht="15" customHeight="1">
      <c r="A673" s="63"/>
      <c r="B673" s="63"/>
      <c r="C673" s="84"/>
      <c r="D673" s="85"/>
      <c r="E673" s="62"/>
      <c r="F673" s="62"/>
      <c r="G673" s="62"/>
      <c r="H673" s="62"/>
      <c r="I673" s="62"/>
      <c r="J673" s="62"/>
      <c r="K673" s="62"/>
      <c r="L673" s="62"/>
      <c r="M673" s="62"/>
      <c r="N673" s="62"/>
      <c r="O673" s="62"/>
      <c r="P673" s="62"/>
      <c r="Q673" s="62"/>
      <c r="R673" s="62"/>
      <c r="S673" s="258"/>
      <c r="T673" s="248" t="str">
        <f t="shared" si="94"/>
        <v/>
      </c>
      <c r="U673" s="249" t="str">
        <f t="shared" si="95"/>
        <v/>
      </c>
      <c r="V673" s="294" t="str">
        <f t="shared" si="91"/>
        <v/>
      </c>
      <c r="W673" s="294" t="str">
        <f>IF(((E673="")+(F673="")),"",IF(VLOOKUP(F673,Mannschaften!$A$1:$B$54,2,FALSE)&lt;&gt;E673,"Reiter Mannschaften füllen",""))</f>
        <v/>
      </c>
      <c r="X673" s="248" t="str">
        <f>IF(ISBLANK(C673),"",IF((U673&gt;(LOOKUP(E673,WKNrListe,Übersicht!$O$7:$O$46)))+(U673&lt;(LOOKUP(E673,WKNrListe,Übersicht!$P$7:$P$46))),"JG falsch",""))</f>
        <v/>
      </c>
      <c r="Y673" s="255" t="str">
        <f>IF((A673="")*(B673=""),"",IF(ISERROR(MATCH(E673,WKNrListe,0)),"WK falsch",LOOKUP(E673,WKNrListe,Übersicht!$B$7:$B$46)))</f>
        <v/>
      </c>
      <c r="Z673" s="269" t="str">
        <f>IF(((AJ673=0)*(AH673&lt;&gt;"")*(AK673="-"))+((AJ673&lt;&gt;0)*(AH673&lt;&gt;"")*(AK673="-")),IF(AG673="X",Übersicht!$C$70,Übersicht!$C$69),"-")</f>
        <v>-</v>
      </c>
      <c r="AA673" s="252" t="str">
        <f>IF((($A673="")*($B673=""))+((MID($Y673,1,4)&lt;&gt;"Wahl")*(Deckblatt!$C$14='WK-Vorlagen'!$C$82))+(Deckblatt!$C$14&lt;&gt;'WK-Vorlagen'!$C$82),"",IF(ISERROR(MATCH(VALUE(MID(G673,1,2)),Schwierigkeitsstufen!$G$7:$G$19,0)),"Gerät falsch",LOOKUP(VALUE(MID(G673,1,2)),Schwierigkeitsstufen!$G$7:$G$19,Schwierigkeitsstufen!$H$7:$H$19)))</f>
        <v/>
      </c>
      <c r="AB673" s="250" t="str">
        <f>IF((($A673="")*($B673=""))+((MID($Y673,1,4)&lt;&gt;"Wahl")*(Deckblatt!$C$14='WK-Vorlagen'!$C$82))+(Deckblatt!$C$14&lt;&gt;'WK-Vorlagen'!$C$82),"",IF(ISERROR(MATCH(VALUE(MID(H673,1,2)),Schwierigkeitsstufen!$G$7:$G$19,0)),"Gerät falsch",LOOKUP(VALUE(MID(H673,1,2)),Schwierigkeitsstufen!$G$7:$G$19,Schwierigkeitsstufen!$H$7:$H$19)))</f>
        <v/>
      </c>
      <c r="AC673" s="250" t="str">
        <f>IF((($A673="")*($B673=""))+((MID($Y673,1,4)&lt;&gt;"Wahl")*(Deckblatt!$C$14='WK-Vorlagen'!$C$82))+(Deckblatt!$C$14&lt;&gt;'WK-Vorlagen'!$C$82),"",IF(ISERROR(MATCH(VALUE(MID(I673,1,2)),Schwierigkeitsstufen!$G$7:$G$19,0)),"Gerät falsch",LOOKUP(VALUE(MID(I673,1,2)),Schwierigkeitsstufen!$G$7:$G$19,Schwierigkeitsstufen!$H$7:$H$19)))</f>
        <v/>
      </c>
      <c r="AD673" s="251" t="str">
        <f>IF((($A673="")*($B673=""))+((MID($Y673,1,4)&lt;&gt;"Wahl")*(Deckblatt!$C$14='WK-Vorlagen'!$C$82))+(Deckblatt!$C$14&lt;&gt;'WK-Vorlagen'!$C$82),"",IF(ISERROR(MATCH(VALUE(MID(J673,1,2)),Schwierigkeitsstufen!$G$7:$G$19,0)),"Gerät falsch",LOOKUP(VALUE(MID(J673,1,2)),Schwierigkeitsstufen!$G$7:$G$19,Schwierigkeitsstufen!$H$7:$H$19)))</f>
        <v/>
      </c>
      <c r="AE673" s="211"/>
      <c r="AG673" s="221" t="str">
        <f t="shared" si="90"/>
        <v/>
      </c>
      <c r="AH673" s="222" t="str">
        <f t="shared" si="92"/>
        <v/>
      </c>
      <c r="AI673" s="220">
        <f t="shared" si="97"/>
        <v>4</v>
      </c>
      <c r="AJ673" s="222">
        <f t="shared" si="93"/>
        <v>0</v>
      </c>
      <c r="AK673" s="299" t="str">
        <f>IF(ISERROR(LOOKUP(E673,WKNrListe,Übersicht!$R$7:$R$46)),"-",LOOKUP(E673,WKNrListe,Übersicht!$R$7:$R$46))</f>
        <v>-</v>
      </c>
      <c r="AL673" s="299" t="str">
        <f t="shared" si="96"/>
        <v>-</v>
      </c>
      <c r="AM673" s="303"/>
      <c r="AN673" s="174" t="str">
        <f t="shared" si="89"/>
        <v>Leer</v>
      </c>
    </row>
    <row r="674" spans="1:40" s="174" customFormat="1" ht="15" customHeight="1">
      <c r="A674" s="63"/>
      <c r="B674" s="63"/>
      <c r="C674" s="84"/>
      <c r="D674" s="85"/>
      <c r="E674" s="62"/>
      <c r="F674" s="62"/>
      <c r="G674" s="62"/>
      <c r="H674" s="62"/>
      <c r="I674" s="62"/>
      <c r="J674" s="62"/>
      <c r="K674" s="62"/>
      <c r="L674" s="62"/>
      <c r="M674" s="62"/>
      <c r="N674" s="62"/>
      <c r="O674" s="62"/>
      <c r="P674" s="62"/>
      <c r="Q674" s="62"/>
      <c r="R674" s="62"/>
      <c r="S674" s="258"/>
      <c r="T674" s="248" t="str">
        <f t="shared" si="94"/>
        <v/>
      </c>
      <c r="U674" s="249" t="str">
        <f t="shared" si="95"/>
        <v/>
      </c>
      <c r="V674" s="294" t="str">
        <f t="shared" si="91"/>
        <v/>
      </c>
      <c r="W674" s="294" t="str">
        <f>IF(((E674="")+(F674="")),"",IF(VLOOKUP(F674,Mannschaften!$A$1:$B$54,2,FALSE)&lt;&gt;E674,"Reiter Mannschaften füllen",""))</f>
        <v/>
      </c>
      <c r="X674" s="248" t="str">
        <f>IF(ISBLANK(C674),"",IF((U674&gt;(LOOKUP(E674,WKNrListe,Übersicht!$O$7:$O$46)))+(U674&lt;(LOOKUP(E674,WKNrListe,Übersicht!$P$7:$P$46))),"JG falsch",""))</f>
        <v/>
      </c>
      <c r="Y674" s="255" t="str">
        <f>IF((A674="")*(B674=""),"",IF(ISERROR(MATCH(E674,WKNrListe,0)),"WK falsch",LOOKUP(E674,WKNrListe,Übersicht!$B$7:$B$46)))</f>
        <v/>
      </c>
      <c r="Z674" s="269" t="str">
        <f>IF(((AJ674=0)*(AH674&lt;&gt;"")*(AK674="-"))+((AJ674&lt;&gt;0)*(AH674&lt;&gt;"")*(AK674="-")),IF(AG674="X",Übersicht!$C$70,Übersicht!$C$69),"-")</f>
        <v>-</v>
      </c>
      <c r="AA674" s="252" t="str">
        <f>IF((($A674="")*($B674=""))+((MID($Y674,1,4)&lt;&gt;"Wahl")*(Deckblatt!$C$14='WK-Vorlagen'!$C$82))+(Deckblatt!$C$14&lt;&gt;'WK-Vorlagen'!$C$82),"",IF(ISERROR(MATCH(VALUE(MID(G674,1,2)),Schwierigkeitsstufen!$G$7:$G$19,0)),"Gerät falsch",LOOKUP(VALUE(MID(G674,1,2)),Schwierigkeitsstufen!$G$7:$G$19,Schwierigkeitsstufen!$H$7:$H$19)))</f>
        <v/>
      </c>
      <c r="AB674" s="250" t="str">
        <f>IF((($A674="")*($B674=""))+((MID($Y674,1,4)&lt;&gt;"Wahl")*(Deckblatt!$C$14='WK-Vorlagen'!$C$82))+(Deckblatt!$C$14&lt;&gt;'WK-Vorlagen'!$C$82),"",IF(ISERROR(MATCH(VALUE(MID(H674,1,2)),Schwierigkeitsstufen!$G$7:$G$19,0)),"Gerät falsch",LOOKUP(VALUE(MID(H674,1,2)),Schwierigkeitsstufen!$G$7:$G$19,Schwierigkeitsstufen!$H$7:$H$19)))</f>
        <v/>
      </c>
      <c r="AC674" s="250" t="str">
        <f>IF((($A674="")*($B674=""))+((MID($Y674,1,4)&lt;&gt;"Wahl")*(Deckblatt!$C$14='WK-Vorlagen'!$C$82))+(Deckblatt!$C$14&lt;&gt;'WK-Vorlagen'!$C$82),"",IF(ISERROR(MATCH(VALUE(MID(I674,1,2)),Schwierigkeitsstufen!$G$7:$G$19,0)),"Gerät falsch",LOOKUP(VALUE(MID(I674,1,2)),Schwierigkeitsstufen!$G$7:$G$19,Schwierigkeitsstufen!$H$7:$H$19)))</f>
        <v/>
      </c>
      <c r="AD674" s="251" t="str">
        <f>IF((($A674="")*($B674=""))+((MID($Y674,1,4)&lt;&gt;"Wahl")*(Deckblatt!$C$14='WK-Vorlagen'!$C$82))+(Deckblatt!$C$14&lt;&gt;'WK-Vorlagen'!$C$82),"",IF(ISERROR(MATCH(VALUE(MID(J674,1,2)),Schwierigkeitsstufen!$G$7:$G$19,0)),"Gerät falsch",LOOKUP(VALUE(MID(J674,1,2)),Schwierigkeitsstufen!$G$7:$G$19,Schwierigkeitsstufen!$H$7:$H$19)))</f>
        <v/>
      </c>
      <c r="AE674" s="211"/>
      <c r="AG674" s="221" t="str">
        <f t="shared" si="90"/>
        <v/>
      </c>
      <c r="AH674" s="222" t="str">
        <f t="shared" si="92"/>
        <v/>
      </c>
      <c r="AI674" s="220">
        <f t="shared" si="97"/>
        <v>4</v>
      </c>
      <c r="AJ674" s="222">
        <f t="shared" si="93"/>
        <v>0</v>
      </c>
      <c r="AK674" s="299" t="str">
        <f>IF(ISERROR(LOOKUP(E674,WKNrListe,Übersicht!$R$7:$R$46)),"-",LOOKUP(E674,WKNrListe,Übersicht!$R$7:$R$46))</f>
        <v>-</v>
      </c>
      <c r="AL674" s="299" t="str">
        <f t="shared" si="96"/>
        <v>-</v>
      </c>
      <c r="AM674" s="303"/>
      <c r="AN674" s="174" t="str">
        <f t="shared" si="89"/>
        <v>Leer</v>
      </c>
    </row>
    <row r="675" spans="1:40" s="174" customFormat="1" ht="15" customHeight="1">
      <c r="A675" s="63"/>
      <c r="B675" s="63"/>
      <c r="C675" s="84"/>
      <c r="D675" s="85"/>
      <c r="E675" s="62"/>
      <c r="F675" s="62"/>
      <c r="G675" s="62"/>
      <c r="H675" s="62"/>
      <c r="I675" s="62"/>
      <c r="J675" s="62"/>
      <c r="K675" s="62"/>
      <c r="L675" s="62"/>
      <c r="M675" s="62"/>
      <c r="N675" s="62"/>
      <c r="O675" s="62"/>
      <c r="P675" s="62"/>
      <c r="Q675" s="62"/>
      <c r="R675" s="62"/>
      <c r="S675" s="258"/>
      <c r="T675" s="248" t="str">
        <f t="shared" si="94"/>
        <v/>
      </c>
      <c r="U675" s="249" t="str">
        <f t="shared" si="95"/>
        <v/>
      </c>
      <c r="V675" s="294" t="str">
        <f t="shared" si="91"/>
        <v/>
      </c>
      <c r="W675" s="294" t="str">
        <f>IF(((E675="")+(F675="")),"",IF(VLOOKUP(F675,Mannschaften!$A$1:$B$54,2,FALSE)&lt;&gt;E675,"Reiter Mannschaften füllen",""))</f>
        <v/>
      </c>
      <c r="X675" s="248" t="str">
        <f>IF(ISBLANK(C675),"",IF((U675&gt;(LOOKUP(E675,WKNrListe,Übersicht!$O$7:$O$46)))+(U675&lt;(LOOKUP(E675,WKNrListe,Übersicht!$P$7:$P$46))),"JG falsch",""))</f>
        <v/>
      </c>
      <c r="Y675" s="255" t="str">
        <f>IF((A675="")*(B675=""),"",IF(ISERROR(MATCH(E675,WKNrListe,0)),"WK falsch",LOOKUP(E675,WKNrListe,Übersicht!$B$7:$B$46)))</f>
        <v/>
      </c>
      <c r="Z675" s="269" t="str">
        <f>IF(((AJ675=0)*(AH675&lt;&gt;"")*(AK675="-"))+((AJ675&lt;&gt;0)*(AH675&lt;&gt;"")*(AK675="-")),IF(AG675="X",Übersicht!$C$70,Übersicht!$C$69),"-")</f>
        <v>-</v>
      </c>
      <c r="AA675" s="252" t="str">
        <f>IF((($A675="")*($B675=""))+((MID($Y675,1,4)&lt;&gt;"Wahl")*(Deckblatt!$C$14='WK-Vorlagen'!$C$82))+(Deckblatt!$C$14&lt;&gt;'WK-Vorlagen'!$C$82),"",IF(ISERROR(MATCH(VALUE(MID(G675,1,2)),Schwierigkeitsstufen!$G$7:$G$19,0)),"Gerät falsch",LOOKUP(VALUE(MID(G675,1,2)),Schwierigkeitsstufen!$G$7:$G$19,Schwierigkeitsstufen!$H$7:$H$19)))</f>
        <v/>
      </c>
      <c r="AB675" s="250" t="str">
        <f>IF((($A675="")*($B675=""))+((MID($Y675,1,4)&lt;&gt;"Wahl")*(Deckblatt!$C$14='WK-Vorlagen'!$C$82))+(Deckblatt!$C$14&lt;&gt;'WK-Vorlagen'!$C$82),"",IF(ISERROR(MATCH(VALUE(MID(H675,1,2)),Schwierigkeitsstufen!$G$7:$G$19,0)),"Gerät falsch",LOOKUP(VALUE(MID(H675,1,2)),Schwierigkeitsstufen!$G$7:$G$19,Schwierigkeitsstufen!$H$7:$H$19)))</f>
        <v/>
      </c>
      <c r="AC675" s="250" t="str">
        <f>IF((($A675="")*($B675=""))+((MID($Y675,1,4)&lt;&gt;"Wahl")*(Deckblatt!$C$14='WK-Vorlagen'!$C$82))+(Deckblatt!$C$14&lt;&gt;'WK-Vorlagen'!$C$82),"",IF(ISERROR(MATCH(VALUE(MID(I675,1,2)),Schwierigkeitsstufen!$G$7:$G$19,0)),"Gerät falsch",LOOKUP(VALUE(MID(I675,1,2)),Schwierigkeitsstufen!$G$7:$G$19,Schwierigkeitsstufen!$H$7:$H$19)))</f>
        <v/>
      </c>
      <c r="AD675" s="251" t="str">
        <f>IF((($A675="")*($B675=""))+((MID($Y675,1,4)&lt;&gt;"Wahl")*(Deckblatt!$C$14='WK-Vorlagen'!$C$82))+(Deckblatt!$C$14&lt;&gt;'WK-Vorlagen'!$C$82),"",IF(ISERROR(MATCH(VALUE(MID(J675,1,2)),Schwierigkeitsstufen!$G$7:$G$19,0)),"Gerät falsch",LOOKUP(VALUE(MID(J675,1,2)),Schwierigkeitsstufen!$G$7:$G$19,Schwierigkeitsstufen!$H$7:$H$19)))</f>
        <v/>
      </c>
      <c r="AE675" s="211"/>
      <c r="AG675" s="221" t="str">
        <f t="shared" si="90"/>
        <v/>
      </c>
      <c r="AH675" s="222" t="str">
        <f t="shared" si="92"/>
        <v/>
      </c>
      <c r="AI675" s="220">
        <f t="shared" si="97"/>
        <v>4</v>
      </c>
      <c r="AJ675" s="222">
        <f t="shared" si="93"/>
        <v>0</v>
      </c>
      <c r="AK675" s="299" t="str">
        <f>IF(ISERROR(LOOKUP(E675,WKNrListe,Übersicht!$R$7:$R$46)),"-",LOOKUP(E675,WKNrListe,Übersicht!$R$7:$R$46))</f>
        <v>-</v>
      </c>
      <c r="AL675" s="299" t="str">
        <f t="shared" si="96"/>
        <v>-</v>
      </c>
      <c r="AM675" s="303"/>
      <c r="AN675" s="174" t="str">
        <f t="shared" si="89"/>
        <v>Leer</v>
      </c>
    </row>
    <row r="676" spans="1:40" s="174" customFormat="1" ht="15" customHeight="1">
      <c r="A676" s="63"/>
      <c r="B676" s="63"/>
      <c r="C676" s="84"/>
      <c r="D676" s="85"/>
      <c r="E676" s="62"/>
      <c r="F676" s="62"/>
      <c r="G676" s="62"/>
      <c r="H676" s="62"/>
      <c r="I676" s="62"/>
      <c r="J676" s="62"/>
      <c r="K676" s="62"/>
      <c r="L676" s="62"/>
      <c r="M676" s="62"/>
      <c r="N676" s="62"/>
      <c r="O676" s="62"/>
      <c r="P676" s="62"/>
      <c r="Q676" s="62"/>
      <c r="R676" s="62"/>
      <c r="S676" s="258"/>
      <c r="T676" s="248" t="str">
        <f t="shared" si="94"/>
        <v/>
      </c>
      <c r="U676" s="249" t="str">
        <f t="shared" si="95"/>
        <v/>
      </c>
      <c r="V676" s="294" t="str">
        <f t="shared" si="91"/>
        <v/>
      </c>
      <c r="W676" s="294" t="str">
        <f>IF(((E676="")+(F676="")),"",IF(VLOOKUP(F676,Mannschaften!$A$1:$B$54,2,FALSE)&lt;&gt;E676,"Reiter Mannschaften füllen",""))</f>
        <v/>
      </c>
      <c r="X676" s="248" t="str">
        <f>IF(ISBLANK(C676),"",IF((U676&gt;(LOOKUP(E676,WKNrListe,Übersicht!$O$7:$O$46)))+(U676&lt;(LOOKUP(E676,WKNrListe,Übersicht!$P$7:$P$46))),"JG falsch",""))</f>
        <v/>
      </c>
      <c r="Y676" s="255" t="str">
        <f>IF((A676="")*(B676=""),"",IF(ISERROR(MATCH(E676,WKNrListe,0)),"WK falsch",LOOKUP(E676,WKNrListe,Übersicht!$B$7:$B$46)))</f>
        <v/>
      </c>
      <c r="Z676" s="269" t="str">
        <f>IF(((AJ676=0)*(AH676&lt;&gt;"")*(AK676="-"))+((AJ676&lt;&gt;0)*(AH676&lt;&gt;"")*(AK676="-")),IF(AG676="X",Übersicht!$C$70,Übersicht!$C$69),"-")</f>
        <v>-</v>
      </c>
      <c r="AA676" s="252" t="str">
        <f>IF((($A676="")*($B676=""))+((MID($Y676,1,4)&lt;&gt;"Wahl")*(Deckblatt!$C$14='WK-Vorlagen'!$C$82))+(Deckblatt!$C$14&lt;&gt;'WK-Vorlagen'!$C$82),"",IF(ISERROR(MATCH(VALUE(MID(G676,1,2)),Schwierigkeitsstufen!$G$7:$G$19,0)),"Gerät falsch",LOOKUP(VALUE(MID(G676,1,2)),Schwierigkeitsstufen!$G$7:$G$19,Schwierigkeitsstufen!$H$7:$H$19)))</f>
        <v/>
      </c>
      <c r="AB676" s="250" t="str">
        <f>IF((($A676="")*($B676=""))+((MID($Y676,1,4)&lt;&gt;"Wahl")*(Deckblatt!$C$14='WK-Vorlagen'!$C$82))+(Deckblatt!$C$14&lt;&gt;'WK-Vorlagen'!$C$82),"",IF(ISERROR(MATCH(VALUE(MID(H676,1,2)),Schwierigkeitsstufen!$G$7:$G$19,0)),"Gerät falsch",LOOKUP(VALUE(MID(H676,1,2)),Schwierigkeitsstufen!$G$7:$G$19,Schwierigkeitsstufen!$H$7:$H$19)))</f>
        <v/>
      </c>
      <c r="AC676" s="250" t="str">
        <f>IF((($A676="")*($B676=""))+((MID($Y676,1,4)&lt;&gt;"Wahl")*(Deckblatt!$C$14='WK-Vorlagen'!$C$82))+(Deckblatt!$C$14&lt;&gt;'WK-Vorlagen'!$C$82),"",IF(ISERROR(MATCH(VALUE(MID(I676,1,2)),Schwierigkeitsstufen!$G$7:$G$19,0)),"Gerät falsch",LOOKUP(VALUE(MID(I676,1,2)),Schwierigkeitsstufen!$G$7:$G$19,Schwierigkeitsstufen!$H$7:$H$19)))</f>
        <v/>
      </c>
      <c r="AD676" s="251" t="str">
        <f>IF((($A676="")*($B676=""))+((MID($Y676,1,4)&lt;&gt;"Wahl")*(Deckblatt!$C$14='WK-Vorlagen'!$C$82))+(Deckblatt!$C$14&lt;&gt;'WK-Vorlagen'!$C$82),"",IF(ISERROR(MATCH(VALUE(MID(J676,1,2)),Schwierigkeitsstufen!$G$7:$G$19,0)),"Gerät falsch",LOOKUP(VALUE(MID(J676,1,2)),Schwierigkeitsstufen!$G$7:$G$19,Schwierigkeitsstufen!$H$7:$H$19)))</f>
        <v/>
      </c>
      <c r="AE676" s="211"/>
      <c r="AG676" s="221" t="str">
        <f t="shared" si="90"/>
        <v/>
      </c>
      <c r="AH676" s="222" t="str">
        <f t="shared" si="92"/>
        <v/>
      </c>
      <c r="AI676" s="220">
        <f t="shared" si="97"/>
        <v>4</v>
      </c>
      <c r="AJ676" s="222">
        <f t="shared" si="93"/>
        <v>0</v>
      </c>
      <c r="AK676" s="299" t="str">
        <f>IF(ISERROR(LOOKUP(E676,WKNrListe,Übersicht!$R$7:$R$46)),"-",LOOKUP(E676,WKNrListe,Übersicht!$R$7:$R$46))</f>
        <v>-</v>
      </c>
      <c r="AL676" s="299" t="str">
        <f t="shared" si="96"/>
        <v>-</v>
      </c>
      <c r="AM676" s="303"/>
      <c r="AN676" s="174" t="str">
        <f t="shared" si="89"/>
        <v>Leer</v>
      </c>
    </row>
    <row r="677" spans="1:40" s="174" customFormat="1" ht="15" customHeight="1">
      <c r="A677" s="63"/>
      <c r="B677" s="63"/>
      <c r="C677" s="84"/>
      <c r="D677" s="85"/>
      <c r="E677" s="62"/>
      <c r="F677" s="62"/>
      <c r="G677" s="62"/>
      <c r="H677" s="62"/>
      <c r="I677" s="62"/>
      <c r="J677" s="62"/>
      <c r="K677" s="62"/>
      <c r="L677" s="62"/>
      <c r="M677" s="62"/>
      <c r="N677" s="62"/>
      <c r="O677" s="62"/>
      <c r="P677" s="62"/>
      <c r="Q677" s="62"/>
      <c r="R677" s="62"/>
      <c r="S677" s="258"/>
      <c r="T677" s="248" t="str">
        <f t="shared" si="94"/>
        <v/>
      </c>
      <c r="U677" s="249" t="str">
        <f t="shared" si="95"/>
        <v/>
      </c>
      <c r="V677" s="294" t="str">
        <f t="shared" si="91"/>
        <v/>
      </c>
      <c r="W677" s="294" t="str">
        <f>IF(((E677="")+(F677="")),"",IF(VLOOKUP(F677,Mannschaften!$A$1:$B$54,2,FALSE)&lt;&gt;E677,"Reiter Mannschaften füllen",""))</f>
        <v/>
      </c>
      <c r="X677" s="248" t="str">
        <f>IF(ISBLANK(C677),"",IF((U677&gt;(LOOKUP(E677,WKNrListe,Übersicht!$O$7:$O$46)))+(U677&lt;(LOOKUP(E677,WKNrListe,Übersicht!$P$7:$P$46))),"JG falsch",""))</f>
        <v/>
      </c>
      <c r="Y677" s="255" t="str">
        <f>IF((A677="")*(B677=""),"",IF(ISERROR(MATCH(E677,WKNrListe,0)),"WK falsch",LOOKUP(E677,WKNrListe,Übersicht!$B$7:$B$46)))</f>
        <v/>
      </c>
      <c r="Z677" s="269" t="str">
        <f>IF(((AJ677=0)*(AH677&lt;&gt;"")*(AK677="-"))+((AJ677&lt;&gt;0)*(AH677&lt;&gt;"")*(AK677="-")),IF(AG677="X",Übersicht!$C$70,Übersicht!$C$69),"-")</f>
        <v>-</v>
      </c>
      <c r="AA677" s="252" t="str">
        <f>IF((($A677="")*($B677=""))+((MID($Y677,1,4)&lt;&gt;"Wahl")*(Deckblatt!$C$14='WK-Vorlagen'!$C$82))+(Deckblatt!$C$14&lt;&gt;'WK-Vorlagen'!$C$82),"",IF(ISERROR(MATCH(VALUE(MID(G677,1,2)),Schwierigkeitsstufen!$G$7:$G$19,0)),"Gerät falsch",LOOKUP(VALUE(MID(G677,1,2)),Schwierigkeitsstufen!$G$7:$G$19,Schwierigkeitsstufen!$H$7:$H$19)))</f>
        <v/>
      </c>
      <c r="AB677" s="250" t="str">
        <f>IF((($A677="")*($B677=""))+((MID($Y677,1,4)&lt;&gt;"Wahl")*(Deckblatt!$C$14='WK-Vorlagen'!$C$82))+(Deckblatt!$C$14&lt;&gt;'WK-Vorlagen'!$C$82),"",IF(ISERROR(MATCH(VALUE(MID(H677,1,2)),Schwierigkeitsstufen!$G$7:$G$19,0)),"Gerät falsch",LOOKUP(VALUE(MID(H677,1,2)),Schwierigkeitsstufen!$G$7:$G$19,Schwierigkeitsstufen!$H$7:$H$19)))</f>
        <v/>
      </c>
      <c r="AC677" s="250" t="str">
        <f>IF((($A677="")*($B677=""))+((MID($Y677,1,4)&lt;&gt;"Wahl")*(Deckblatt!$C$14='WK-Vorlagen'!$C$82))+(Deckblatt!$C$14&lt;&gt;'WK-Vorlagen'!$C$82),"",IF(ISERROR(MATCH(VALUE(MID(I677,1,2)),Schwierigkeitsstufen!$G$7:$G$19,0)),"Gerät falsch",LOOKUP(VALUE(MID(I677,1,2)),Schwierigkeitsstufen!$G$7:$G$19,Schwierigkeitsstufen!$H$7:$H$19)))</f>
        <v/>
      </c>
      <c r="AD677" s="251" t="str">
        <f>IF((($A677="")*($B677=""))+((MID($Y677,1,4)&lt;&gt;"Wahl")*(Deckblatt!$C$14='WK-Vorlagen'!$C$82))+(Deckblatt!$C$14&lt;&gt;'WK-Vorlagen'!$C$82),"",IF(ISERROR(MATCH(VALUE(MID(J677,1,2)),Schwierigkeitsstufen!$G$7:$G$19,0)),"Gerät falsch",LOOKUP(VALUE(MID(J677,1,2)),Schwierigkeitsstufen!$G$7:$G$19,Schwierigkeitsstufen!$H$7:$H$19)))</f>
        <v/>
      </c>
      <c r="AE677" s="211"/>
      <c r="AG677" s="221" t="str">
        <f t="shared" si="90"/>
        <v/>
      </c>
      <c r="AH677" s="222" t="str">
        <f t="shared" si="92"/>
        <v/>
      </c>
      <c r="AI677" s="220">
        <f t="shared" si="97"/>
        <v>4</v>
      </c>
      <c r="AJ677" s="222">
        <f t="shared" si="93"/>
        <v>0</v>
      </c>
      <c r="AK677" s="299" t="str">
        <f>IF(ISERROR(LOOKUP(E677,WKNrListe,Übersicht!$R$7:$R$46)),"-",LOOKUP(E677,WKNrListe,Übersicht!$R$7:$R$46))</f>
        <v>-</v>
      </c>
      <c r="AL677" s="299" t="str">
        <f t="shared" si="96"/>
        <v>-</v>
      </c>
      <c r="AM677" s="303"/>
      <c r="AN677" s="174" t="str">
        <f t="shared" si="89"/>
        <v>Leer</v>
      </c>
    </row>
    <row r="678" spans="1:40" s="174" customFormat="1" ht="15" customHeight="1">
      <c r="A678" s="63"/>
      <c r="B678" s="63"/>
      <c r="C678" s="84"/>
      <c r="D678" s="85"/>
      <c r="E678" s="62"/>
      <c r="F678" s="62"/>
      <c r="G678" s="62"/>
      <c r="H678" s="62"/>
      <c r="I678" s="62"/>
      <c r="J678" s="62"/>
      <c r="K678" s="62"/>
      <c r="L678" s="62"/>
      <c r="M678" s="62"/>
      <c r="N678" s="62"/>
      <c r="O678" s="62"/>
      <c r="P678" s="62"/>
      <c r="Q678" s="62"/>
      <c r="R678" s="62"/>
      <c r="S678" s="258"/>
      <c r="T678" s="248" t="str">
        <f t="shared" si="94"/>
        <v/>
      </c>
      <c r="U678" s="249" t="str">
        <f t="shared" si="95"/>
        <v/>
      </c>
      <c r="V678" s="294" t="str">
        <f t="shared" si="91"/>
        <v/>
      </c>
      <c r="W678" s="294" t="str">
        <f>IF(((E678="")+(F678="")),"",IF(VLOOKUP(F678,Mannschaften!$A$1:$B$54,2,FALSE)&lt;&gt;E678,"Reiter Mannschaften füllen",""))</f>
        <v/>
      </c>
      <c r="X678" s="248" t="str">
        <f>IF(ISBLANK(C678),"",IF((U678&gt;(LOOKUP(E678,WKNrListe,Übersicht!$O$7:$O$46)))+(U678&lt;(LOOKUP(E678,WKNrListe,Übersicht!$P$7:$P$46))),"JG falsch",""))</f>
        <v/>
      </c>
      <c r="Y678" s="255" t="str">
        <f>IF((A678="")*(B678=""),"",IF(ISERROR(MATCH(E678,WKNrListe,0)),"WK falsch",LOOKUP(E678,WKNrListe,Übersicht!$B$7:$B$46)))</f>
        <v/>
      </c>
      <c r="Z678" s="269" t="str">
        <f>IF(((AJ678=0)*(AH678&lt;&gt;"")*(AK678="-"))+((AJ678&lt;&gt;0)*(AH678&lt;&gt;"")*(AK678="-")),IF(AG678="X",Übersicht!$C$70,Übersicht!$C$69),"-")</f>
        <v>-</v>
      </c>
      <c r="AA678" s="252" t="str">
        <f>IF((($A678="")*($B678=""))+((MID($Y678,1,4)&lt;&gt;"Wahl")*(Deckblatt!$C$14='WK-Vorlagen'!$C$82))+(Deckblatt!$C$14&lt;&gt;'WK-Vorlagen'!$C$82),"",IF(ISERROR(MATCH(VALUE(MID(G678,1,2)),Schwierigkeitsstufen!$G$7:$G$19,0)),"Gerät falsch",LOOKUP(VALUE(MID(G678,1,2)),Schwierigkeitsstufen!$G$7:$G$19,Schwierigkeitsstufen!$H$7:$H$19)))</f>
        <v/>
      </c>
      <c r="AB678" s="250" t="str">
        <f>IF((($A678="")*($B678=""))+((MID($Y678,1,4)&lt;&gt;"Wahl")*(Deckblatt!$C$14='WK-Vorlagen'!$C$82))+(Deckblatt!$C$14&lt;&gt;'WK-Vorlagen'!$C$82),"",IF(ISERROR(MATCH(VALUE(MID(H678,1,2)),Schwierigkeitsstufen!$G$7:$G$19,0)),"Gerät falsch",LOOKUP(VALUE(MID(H678,1,2)),Schwierigkeitsstufen!$G$7:$G$19,Schwierigkeitsstufen!$H$7:$H$19)))</f>
        <v/>
      </c>
      <c r="AC678" s="250" t="str">
        <f>IF((($A678="")*($B678=""))+((MID($Y678,1,4)&lt;&gt;"Wahl")*(Deckblatt!$C$14='WK-Vorlagen'!$C$82))+(Deckblatt!$C$14&lt;&gt;'WK-Vorlagen'!$C$82),"",IF(ISERROR(MATCH(VALUE(MID(I678,1,2)),Schwierigkeitsstufen!$G$7:$G$19,0)),"Gerät falsch",LOOKUP(VALUE(MID(I678,1,2)),Schwierigkeitsstufen!$G$7:$G$19,Schwierigkeitsstufen!$H$7:$H$19)))</f>
        <v/>
      </c>
      <c r="AD678" s="251" t="str">
        <f>IF((($A678="")*($B678=""))+((MID($Y678,1,4)&lt;&gt;"Wahl")*(Deckblatt!$C$14='WK-Vorlagen'!$C$82))+(Deckblatt!$C$14&lt;&gt;'WK-Vorlagen'!$C$82),"",IF(ISERROR(MATCH(VALUE(MID(J678,1,2)),Schwierigkeitsstufen!$G$7:$G$19,0)),"Gerät falsch",LOOKUP(VALUE(MID(J678,1,2)),Schwierigkeitsstufen!$G$7:$G$19,Schwierigkeitsstufen!$H$7:$H$19)))</f>
        <v/>
      </c>
      <c r="AE678" s="211"/>
      <c r="AG678" s="221" t="str">
        <f t="shared" si="90"/>
        <v/>
      </c>
      <c r="AH678" s="222" t="str">
        <f t="shared" si="92"/>
        <v/>
      </c>
      <c r="AI678" s="220">
        <f t="shared" si="97"/>
        <v>4</v>
      </c>
      <c r="AJ678" s="222">
        <f t="shared" si="93"/>
        <v>0</v>
      </c>
      <c r="AK678" s="299" t="str">
        <f>IF(ISERROR(LOOKUP(E678,WKNrListe,Übersicht!$R$7:$R$46)),"-",LOOKUP(E678,WKNrListe,Übersicht!$R$7:$R$46))</f>
        <v>-</v>
      </c>
      <c r="AL678" s="299" t="str">
        <f t="shared" si="96"/>
        <v>-</v>
      </c>
      <c r="AM678" s="303"/>
      <c r="AN678" s="174" t="str">
        <f t="shared" si="89"/>
        <v>Leer</v>
      </c>
    </row>
    <row r="679" spans="1:40" s="174" customFormat="1" ht="15" customHeight="1">
      <c r="A679" s="63"/>
      <c r="B679" s="63"/>
      <c r="C679" s="84"/>
      <c r="D679" s="85"/>
      <c r="E679" s="62"/>
      <c r="F679" s="62"/>
      <c r="G679" s="62"/>
      <c r="H679" s="62"/>
      <c r="I679" s="62"/>
      <c r="J679" s="62"/>
      <c r="K679" s="62"/>
      <c r="L679" s="62"/>
      <c r="M679" s="62"/>
      <c r="N679" s="62"/>
      <c r="O679" s="62"/>
      <c r="P679" s="62"/>
      <c r="Q679" s="62"/>
      <c r="R679" s="62"/>
      <c r="S679" s="258"/>
      <c r="T679" s="248" t="str">
        <f t="shared" si="94"/>
        <v/>
      </c>
      <c r="U679" s="249" t="str">
        <f t="shared" si="95"/>
        <v/>
      </c>
      <c r="V679" s="294" t="str">
        <f t="shared" si="91"/>
        <v/>
      </c>
      <c r="W679" s="294" t="str">
        <f>IF(((E679="")+(F679="")),"",IF(VLOOKUP(F679,Mannschaften!$A$1:$B$54,2,FALSE)&lt;&gt;E679,"Reiter Mannschaften füllen",""))</f>
        <v/>
      </c>
      <c r="X679" s="248" t="str">
        <f>IF(ISBLANK(C679),"",IF((U679&gt;(LOOKUP(E679,WKNrListe,Übersicht!$O$7:$O$46)))+(U679&lt;(LOOKUP(E679,WKNrListe,Übersicht!$P$7:$P$46))),"JG falsch",""))</f>
        <v/>
      </c>
      <c r="Y679" s="255" t="str">
        <f>IF((A679="")*(B679=""),"",IF(ISERROR(MATCH(E679,WKNrListe,0)),"WK falsch",LOOKUP(E679,WKNrListe,Übersicht!$B$7:$B$46)))</f>
        <v/>
      </c>
      <c r="Z679" s="269" t="str">
        <f>IF(((AJ679=0)*(AH679&lt;&gt;"")*(AK679="-"))+((AJ679&lt;&gt;0)*(AH679&lt;&gt;"")*(AK679="-")),IF(AG679="X",Übersicht!$C$70,Übersicht!$C$69),"-")</f>
        <v>-</v>
      </c>
      <c r="AA679" s="252" t="str">
        <f>IF((($A679="")*($B679=""))+((MID($Y679,1,4)&lt;&gt;"Wahl")*(Deckblatt!$C$14='WK-Vorlagen'!$C$82))+(Deckblatt!$C$14&lt;&gt;'WK-Vorlagen'!$C$82),"",IF(ISERROR(MATCH(VALUE(MID(G679,1,2)),Schwierigkeitsstufen!$G$7:$G$19,0)),"Gerät falsch",LOOKUP(VALUE(MID(G679,1,2)),Schwierigkeitsstufen!$G$7:$G$19,Schwierigkeitsstufen!$H$7:$H$19)))</f>
        <v/>
      </c>
      <c r="AB679" s="250" t="str">
        <f>IF((($A679="")*($B679=""))+((MID($Y679,1,4)&lt;&gt;"Wahl")*(Deckblatt!$C$14='WK-Vorlagen'!$C$82))+(Deckblatt!$C$14&lt;&gt;'WK-Vorlagen'!$C$82),"",IF(ISERROR(MATCH(VALUE(MID(H679,1,2)),Schwierigkeitsstufen!$G$7:$G$19,0)),"Gerät falsch",LOOKUP(VALUE(MID(H679,1,2)),Schwierigkeitsstufen!$G$7:$G$19,Schwierigkeitsstufen!$H$7:$H$19)))</f>
        <v/>
      </c>
      <c r="AC679" s="250" t="str">
        <f>IF((($A679="")*($B679=""))+((MID($Y679,1,4)&lt;&gt;"Wahl")*(Deckblatt!$C$14='WK-Vorlagen'!$C$82))+(Deckblatt!$C$14&lt;&gt;'WK-Vorlagen'!$C$82),"",IF(ISERROR(MATCH(VALUE(MID(I679,1,2)),Schwierigkeitsstufen!$G$7:$G$19,0)),"Gerät falsch",LOOKUP(VALUE(MID(I679,1,2)),Schwierigkeitsstufen!$G$7:$G$19,Schwierigkeitsstufen!$H$7:$H$19)))</f>
        <v/>
      </c>
      <c r="AD679" s="251" t="str">
        <f>IF((($A679="")*($B679=""))+((MID($Y679,1,4)&lt;&gt;"Wahl")*(Deckblatt!$C$14='WK-Vorlagen'!$C$82))+(Deckblatt!$C$14&lt;&gt;'WK-Vorlagen'!$C$82),"",IF(ISERROR(MATCH(VALUE(MID(J679,1,2)),Schwierigkeitsstufen!$G$7:$G$19,0)),"Gerät falsch",LOOKUP(VALUE(MID(J679,1,2)),Schwierigkeitsstufen!$G$7:$G$19,Schwierigkeitsstufen!$H$7:$H$19)))</f>
        <v/>
      </c>
      <c r="AE679" s="211"/>
      <c r="AG679" s="221" t="str">
        <f t="shared" si="90"/>
        <v/>
      </c>
      <c r="AH679" s="222" t="str">
        <f t="shared" si="92"/>
        <v/>
      </c>
      <c r="AI679" s="220">
        <f t="shared" si="97"/>
        <v>4</v>
      </c>
      <c r="AJ679" s="222">
        <f t="shared" si="93"/>
        <v>0</v>
      </c>
      <c r="AK679" s="299" t="str">
        <f>IF(ISERROR(LOOKUP(E679,WKNrListe,Übersicht!$R$7:$R$46)),"-",LOOKUP(E679,WKNrListe,Übersicht!$R$7:$R$46))</f>
        <v>-</v>
      </c>
      <c r="AL679" s="299" t="str">
        <f t="shared" si="96"/>
        <v>-</v>
      </c>
      <c r="AM679" s="303"/>
      <c r="AN679" s="174" t="str">
        <f t="shared" si="89"/>
        <v>Leer</v>
      </c>
    </row>
    <row r="680" spans="1:40" s="174" customFormat="1" ht="15" customHeight="1">
      <c r="A680" s="63"/>
      <c r="B680" s="63"/>
      <c r="C680" s="84"/>
      <c r="D680" s="85"/>
      <c r="E680" s="62"/>
      <c r="F680" s="62"/>
      <c r="G680" s="62"/>
      <c r="H680" s="62"/>
      <c r="I680" s="62"/>
      <c r="J680" s="62"/>
      <c r="K680" s="62"/>
      <c r="L680" s="62"/>
      <c r="M680" s="62"/>
      <c r="N680" s="62"/>
      <c r="O680" s="62"/>
      <c r="P680" s="62"/>
      <c r="Q680" s="62"/>
      <c r="R680" s="62"/>
      <c r="S680" s="258"/>
      <c r="T680" s="248" t="str">
        <f t="shared" si="94"/>
        <v/>
      </c>
      <c r="U680" s="249" t="str">
        <f t="shared" si="95"/>
        <v/>
      </c>
      <c r="V680" s="294" t="str">
        <f t="shared" si="91"/>
        <v/>
      </c>
      <c r="W680" s="294" t="str">
        <f>IF(((E680="")+(F680="")),"",IF(VLOOKUP(F680,Mannschaften!$A$1:$B$54,2,FALSE)&lt;&gt;E680,"Reiter Mannschaften füllen",""))</f>
        <v/>
      </c>
      <c r="X680" s="248" t="str">
        <f>IF(ISBLANK(C680),"",IF((U680&gt;(LOOKUP(E680,WKNrListe,Übersicht!$O$7:$O$46)))+(U680&lt;(LOOKUP(E680,WKNrListe,Übersicht!$P$7:$P$46))),"JG falsch",""))</f>
        <v/>
      </c>
      <c r="Y680" s="255" t="str">
        <f>IF((A680="")*(B680=""),"",IF(ISERROR(MATCH(E680,WKNrListe,0)),"WK falsch",LOOKUP(E680,WKNrListe,Übersicht!$B$7:$B$46)))</f>
        <v/>
      </c>
      <c r="Z680" s="269" t="str">
        <f>IF(((AJ680=0)*(AH680&lt;&gt;"")*(AK680="-"))+((AJ680&lt;&gt;0)*(AH680&lt;&gt;"")*(AK680="-")),IF(AG680="X",Übersicht!$C$70,Übersicht!$C$69),"-")</f>
        <v>-</v>
      </c>
      <c r="AA680" s="252" t="str">
        <f>IF((($A680="")*($B680=""))+((MID($Y680,1,4)&lt;&gt;"Wahl")*(Deckblatt!$C$14='WK-Vorlagen'!$C$82))+(Deckblatt!$C$14&lt;&gt;'WK-Vorlagen'!$C$82),"",IF(ISERROR(MATCH(VALUE(MID(G680,1,2)),Schwierigkeitsstufen!$G$7:$G$19,0)),"Gerät falsch",LOOKUP(VALUE(MID(G680,1,2)),Schwierigkeitsstufen!$G$7:$G$19,Schwierigkeitsstufen!$H$7:$H$19)))</f>
        <v/>
      </c>
      <c r="AB680" s="250" t="str">
        <f>IF((($A680="")*($B680=""))+((MID($Y680,1,4)&lt;&gt;"Wahl")*(Deckblatt!$C$14='WK-Vorlagen'!$C$82))+(Deckblatt!$C$14&lt;&gt;'WK-Vorlagen'!$C$82),"",IF(ISERROR(MATCH(VALUE(MID(H680,1,2)),Schwierigkeitsstufen!$G$7:$G$19,0)),"Gerät falsch",LOOKUP(VALUE(MID(H680,1,2)),Schwierigkeitsstufen!$G$7:$G$19,Schwierigkeitsstufen!$H$7:$H$19)))</f>
        <v/>
      </c>
      <c r="AC680" s="250" t="str">
        <f>IF((($A680="")*($B680=""))+((MID($Y680,1,4)&lt;&gt;"Wahl")*(Deckblatt!$C$14='WK-Vorlagen'!$C$82))+(Deckblatt!$C$14&lt;&gt;'WK-Vorlagen'!$C$82),"",IF(ISERROR(MATCH(VALUE(MID(I680,1,2)),Schwierigkeitsstufen!$G$7:$G$19,0)),"Gerät falsch",LOOKUP(VALUE(MID(I680,1,2)),Schwierigkeitsstufen!$G$7:$G$19,Schwierigkeitsstufen!$H$7:$H$19)))</f>
        <v/>
      </c>
      <c r="AD680" s="251" t="str">
        <f>IF((($A680="")*($B680=""))+((MID($Y680,1,4)&lt;&gt;"Wahl")*(Deckblatt!$C$14='WK-Vorlagen'!$C$82))+(Deckblatt!$C$14&lt;&gt;'WK-Vorlagen'!$C$82),"",IF(ISERROR(MATCH(VALUE(MID(J680,1,2)),Schwierigkeitsstufen!$G$7:$G$19,0)),"Gerät falsch",LOOKUP(VALUE(MID(J680,1,2)),Schwierigkeitsstufen!$G$7:$G$19,Schwierigkeitsstufen!$H$7:$H$19)))</f>
        <v/>
      </c>
      <c r="AE680" s="211"/>
      <c r="AG680" s="221" t="str">
        <f t="shared" si="90"/>
        <v/>
      </c>
      <c r="AH680" s="222" t="str">
        <f t="shared" si="92"/>
        <v/>
      </c>
      <c r="AI680" s="220">
        <f t="shared" si="97"/>
        <v>4</v>
      </c>
      <c r="AJ680" s="222">
        <f t="shared" si="93"/>
        <v>0</v>
      </c>
      <c r="AK680" s="299" t="str">
        <f>IF(ISERROR(LOOKUP(E680,WKNrListe,Übersicht!$R$7:$R$46)),"-",LOOKUP(E680,WKNrListe,Übersicht!$R$7:$R$46))</f>
        <v>-</v>
      </c>
      <c r="AL680" s="299" t="str">
        <f t="shared" si="96"/>
        <v>-</v>
      </c>
      <c r="AM680" s="303"/>
      <c r="AN680" s="174" t="str">
        <f t="shared" si="89"/>
        <v>Leer</v>
      </c>
    </row>
    <row r="681" spans="1:40" s="174" customFormat="1" ht="15" customHeight="1">
      <c r="A681" s="63"/>
      <c r="B681" s="63"/>
      <c r="C681" s="84"/>
      <c r="D681" s="85"/>
      <c r="E681" s="62"/>
      <c r="F681" s="62"/>
      <c r="G681" s="62"/>
      <c r="H681" s="62"/>
      <c r="I681" s="62"/>
      <c r="J681" s="62"/>
      <c r="K681" s="62"/>
      <c r="L681" s="62"/>
      <c r="M681" s="62"/>
      <c r="N681" s="62"/>
      <c r="O681" s="62"/>
      <c r="P681" s="62"/>
      <c r="Q681" s="62"/>
      <c r="R681" s="62"/>
      <c r="S681" s="258"/>
      <c r="T681" s="248" t="str">
        <f t="shared" si="94"/>
        <v/>
      </c>
      <c r="U681" s="249" t="str">
        <f t="shared" si="95"/>
        <v/>
      </c>
      <c r="V681" s="294" t="str">
        <f t="shared" si="91"/>
        <v/>
      </c>
      <c r="W681" s="294" t="str">
        <f>IF(((E681="")+(F681="")),"",IF(VLOOKUP(F681,Mannschaften!$A$1:$B$54,2,FALSE)&lt;&gt;E681,"Reiter Mannschaften füllen",""))</f>
        <v/>
      </c>
      <c r="X681" s="248" t="str">
        <f>IF(ISBLANK(C681),"",IF((U681&gt;(LOOKUP(E681,WKNrListe,Übersicht!$O$7:$O$46)))+(U681&lt;(LOOKUP(E681,WKNrListe,Übersicht!$P$7:$P$46))),"JG falsch",""))</f>
        <v/>
      </c>
      <c r="Y681" s="255" t="str">
        <f>IF((A681="")*(B681=""),"",IF(ISERROR(MATCH(E681,WKNrListe,0)),"WK falsch",LOOKUP(E681,WKNrListe,Übersicht!$B$7:$B$46)))</f>
        <v/>
      </c>
      <c r="Z681" s="269" t="str">
        <f>IF(((AJ681=0)*(AH681&lt;&gt;"")*(AK681="-"))+((AJ681&lt;&gt;0)*(AH681&lt;&gt;"")*(AK681="-")),IF(AG681="X",Übersicht!$C$70,Übersicht!$C$69),"-")</f>
        <v>-</v>
      </c>
      <c r="AA681" s="252" t="str">
        <f>IF((($A681="")*($B681=""))+((MID($Y681,1,4)&lt;&gt;"Wahl")*(Deckblatt!$C$14='WK-Vorlagen'!$C$82))+(Deckblatt!$C$14&lt;&gt;'WK-Vorlagen'!$C$82),"",IF(ISERROR(MATCH(VALUE(MID(G681,1,2)),Schwierigkeitsstufen!$G$7:$G$19,0)),"Gerät falsch",LOOKUP(VALUE(MID(G681,1,2)),Schwierigkeitsstufen!$G$7:$G$19,Schwierigkeitsstufen!$H$7:$H$19)))</f>
        <v/>
      </c>
      <c r="AB681" s="250" t="str">
        <f>IF((($A681="")*($B681=""))+((MID($Y681,1,4)&lt;&gt;"Wahl")*(Deckblatt!$C$14='WK-Vorlagen'!$C$82))+(Deckblatt!$C$14&lt;&gt;'WK-Vorlagen'!$C$82),"",IF(ISERROR(MATCH(VALUE(MID(H681,1,2)),Schwierigkeitsstufen!$G$7:$G$19,0)),"Gerät falsch",LOOKUP(VALUE(MID(H681,1,2)),Schwierigkeitsstufen!$G$7:$G$19,Schwierigkeitsstufen!$H$7:$H$19)))</f>
        <v/>
      </c>
      <c r="AC681" s="250" t="str">
        <f>IF((($A681="")*($B681=""))+((MID($Y681,1,4)&lt;&gt;"Wahl")*(Deckblatt!$C$14='WK-Vorlagen'!$C$82))+(Deckblatt!$C$14&lt;&gt;'WK-Vorlagen'!$C$82),"",IF(ISERROR(MATCH(VALUE(MID(I681,1,2)),Schwierigkeitsstufen!$G$7:$G$19,0)),"Gerät falsch",LOOKUP(VALUE(MID(I681,1,2)),Schwierigkeitsstufen!$G$7:$G$19,Schwierigkeitsstufen!$H$7:$H$19)))</f>
        <v/>
      </c>
      <c r="AD681" s="251" t="str">
        <f>IF((($A681="")*($B681=""))+((MID($Y681,1,4)&lt;&gt;"Wahl")*(Deckblatt!$C$14='WK-Vorlagen'!$C$82))+(Deckblatt!$C$14&lt;&gt;'WK-Vorlagen'!$C$82),"",IF(ISERROR(MATCH(VALUE(MID(J681,1,2)),Schwierigkeitsstufen!$G$7:$G$19,0)),"Gerät falsch",LOOKUP(VALUE(MID(J681,1,2)),Schwierigkeitsstufen!$G$7:$G$19,Schwierigkeitsstufen!$H$7:$H$19)))</f>
        <v/>
      </c>
      <c r="AE681" s="211"/>
      <c r="AG681" s="221" t="str">
        <f t="shared" si="90"/>
        <v/>
      </c>
      <c r="AH681" s="222" t="str">
        <f t="shared" si="92"/>
        <v/>
      </c>
      <c r="AI681" s="220">
        <f t="shared" si="97"/>
        <v>4</v>
      </c>
      <c r="AJ681" s="222">
        <f t="shared" si="93"/>
        <v>0</v>
      </c>
      <c r="AK681" s="299" t="str">
        <f>IF(ISERROR(LOOKUP(E681,WKNrListe,Übersicht!$R$7:$R$46)),"-",LOOKUP(E681,WKNrListe,Übersicht!$R$7:$R$46))</f>
        <v>-</v>
      </c>
      <c r="AL681" s="299" t="str">
        <f t="shared" si="96"/>
        <v>-</v>
      </c>
      <c r="AM681" s="303"/>
      <c r="AN681" s="174" t="str">
        <f t="shared" si="89"/>
        <v>Leer</v>
      </c>
    </row>
    <row r="682" spans="1:40" s="174" customFormat="1" ht="15" customHeight="1">
      <c r="A682" s="63"/>
      <c r="B682" s="63"/>
      <c r="C682" s="84"/>
      <c r="D682" s="85"/>
      <c r="E682" s="62"/>
      <c r="F682" s="62"/>
      <c r="G682" s="62"/>
      <c r="H682" s="62"/>
      <c r="I682" s="62"/>
      <c r="J682" s="62"/>
      <c r="K682" s="62"/>
      <c r="L682" s="62"/>
      <c r="M682" s="62"/>
      <c r="N682" s="62"/>
      <c r="O682" s="62"/>
      <c r="P682" s="62"/>
      <c r="Q682" s="62"/>
      <c r="R682" s="62"/>
      <c r="S682" s="258"/>
      <c r="T682" s="248" t="str">
        <f t="shared" si="94"/>
        <v/>
      </c>
      <c r="U682" s="249" t="str">
        <f t="shared" si="95"/>
        <v/>
      </c>
      <c r="V682" s="294" t="str">
        <f t="shared" si="91"/>
        <v/>
      </c>
      <c r="W682" s="294" t="str">
        <f>IF(((E682="")+(F682="")),"",IF(VLOOKUP(F682,Mannschaften!$A$1:$B$54,2,FALSE)&lt;&gt;E682,"Reiter Mannschaften füllen",""))</f>
        <v/>
      </c>
      <c r="X682" s="248" t="str">
        <f>IF(ISBLANK(C682),"",IF((U682&gt;(LOOKUP(E682,WKNrListe,Übersicht!$O$7:$O$46)))+(U682&lt;(LOOKUP(E682,WKNrListe,Übersicht!$P$7:$P$46))),"JG falsch",""))</f>
        <v/>
      </c>
      <c r="Y682" s="255" t="str">
        <f>IF((A682="")*(B682=""),"",IF(ISERROR(MATCH(E682,WKNrListe,0)),"WK falsch",LOOKUP(E682,WKNrListe,Übersicht!$B$7:$B$46)))</f>
        <v/>
      </c>
      <c r="Z682" s="269" t="str">
        <f>IF(((AJ682=0)*(AH682&lt;&gt;"")*(AK682="-"))+((AJ682&lt;&gt;0)*(AH682&lt;&gt;"")*(AK682="-")),IF(AG682="X",Übersicht!$C$70,Übersicht!$C$69),"-")</f>
        <v>-</v>
      </c>
      <c r="AA682" s="252" t="str">
        <f>IF((($A682="")*($B682=""))+((MID($Y682,1,4)&lt;&gt;"Wahl")*(Deckblatt!$C$14='WK-Vorlagen'!$C$82))+(Deckblatt!$C$14&lt;&gt;'WK-Vorlagen'!$C$82),"",IF(ISERROR(MATCH(VALUE(MID(G682,1,2)),Schwierigkeitsstufen!$G$7:$G$19,0)),"Gerät falsch",LOOKUP(VALUE(MID(G682,1,2)),Schwierigkeitsstufen!$G$7:$G$19,Schwierigkeitsstufen!$H$7:$H$19)))</f>
        <v/>
      </c>
      <c r="AB682" s="250" t="str">
        <f>IF((($A682="")*($B682=""))+((MID($Y682,1,4)&lt;&gt;"Wahl")*(Deckblatt!$C$14='WK-Vorlagen'!$C$82))+(Deckblatt!$C$14&lt;&gt;'WK-Vorlagen'!$C$82),"",IF(ISERROR(MATCH(VALUE(MID(H682,1,2)),Schwierigkeitsstufen!$G$7:$G$19,0)),"Gerät falsch",LOOKUP(VALUE(MID(H682,1,2)),Schwierigkeitsstufen!$G$7:$G$19,Schwierigkeitsstufen!$H$7:$H$19)))</f>
        <v/>
      </c>
      <c r="AC682" s="250" t="str">
        <f>IF((($A682="")*($B682=""))+((MID($Y682,1,4)&lt;&gt;"Wahl")*(Deckblatt!$C$14='WK-Vorlagen'!$C$82))+(Deckblatt!$C$14&lt;&gt;'WK-Vorlagen'!$C$82),"",IF(ISERROR(MATCH(VALUE(MID(I682,1,2)),Schwierigkeitsstufen!$G$7:$G$19,0)),"Gerät falsch",LOOKUP(VALUE(MID(I682,1,2)),Schwierigkeitsstufen!$G$7:$G$19,Schwierigkeitsstufen!$H$7:$H$19)))</f>
        <v/>
      </c>
      <c r="AD682" s="251" t="str">
        <f>IF((($A682="")*($B682=""))+((MID($Y682,1,4)&lt;&gt;"Wahl")*(Deckblatt!$C$14='WK-Vorlagen'!$C$82))+(Deckblatt!$C$14&lt;&gt;'WK-Vorlagen'!$C$82),"",IF(ISERROR(MATCH(VALUE(MID(J682,1,2)),Schwierigkeitsstufen!$G$7:$G$19,0)),"Gerät falsch",LOOKUP(VALUE(MID(J682,1,2)),Schwierigkeitsstufen!$G$7:$G$19,Schwierigkeitsstufen!$H$7:$H$19)))</f>
        <v/>
      </c>
      <c r="AE682" s="211"/>
      <c r="AG682" s="221" t="str">
        <f t="shared" si="90"/>
        <v/>
      </c>
      <c r="AH682" s="222" t="str">
        <f t="shared" si="92"/>
        <v/>
      </c>
      <c r="AI682" s="220">
        <f t="shared" si="97"/>
        <v>4</v>
      </c>
      <c r="AJ682" s="222">
        <f t="shared" si="93"/>
        <v>0</v>
      </c>
      <c r="AK682" s="299" t="str">
        <f>IF(ISERROR(LOOKUP(E682,WKNrListe,Übersicht!$R$7:$R$46)),"-",LOOKUP(E682,WKNrListe,Übersicht!$R$7:$R$46))</f>
        <v>-</v>
      </c>
      <c r="AL682" s="299" t="str">
        <f t="shared" si="96"/>
        <v>-</v>
      </c>
      <c r="AM682" s="303"/>
      <c r="AN682" s="174" t="str">
        <f t="shared" si="89"/>
        <v>Leer</v>
      </c>
    </row>
    <row r="683" spans="1:40" s="174" customFormat="1" ht="15" customHeight="1">
      <c r="A683" s="63"/>
      <c r="B683" s="63"/>
      <c r="C683" s="84"/>
      <c r="D683" s="85"/>
      <c r="E683" s="62"/>
      <c r="F683" s="62"/>
      <c r="G683" s="62"/>
      <c r="H683" s="62"/>
      <c r="I683" s="62"/>
      <c r="J683" s="62"/>
      <c r="K683" s="62"/>
      <c r="L683" s="62"/>
      <c r="M683" s="62"/>
      <c r="N683" s="62"/>
      <c r="O683" s="62"/>
      <c r="P683" s="62"/>
      <c r="Q683" s="62"/>
      <c r="R683" s="62"/>
      <c r="S683" s="258"/>
      <c r="T683" s="248" t="str">
        <f t="shared" si="94"/>
        <v/>
      </c>
      <c r="U683" s="249" t="str">
        <f t="shared" si="95"/>
        <v/>
      </c>
      <c r="V683" s="294" t="str">
        <f t="shared" si="91"/>
        <v/>
      </c>
      <c r="W683" s="294" t="str">
        <f>IF(((E683="")+(F683="")),"",IF(VLOOKUP(F683,Mannschaften!$A$1:$B$54,2,FALSE)&lt;&gt;E683,"Reiter Mannschaften füllen",""))</f>
        <v/>
      </c>
      <c r="X683" s="248" t="str">
        <f>IF(ISBLANK(C683),"",IF((U683&gt;(LOOKUP(E683,WKNrListe,Übersicht!$O$7:$O$46)))+(U683&lt;(LOOKUP(E683,WKNrListe,Übersicht!$P$7:$P$46))),"JG falsch",""))</f>
        <v/>
      </c>
      <c r="Y683" s="255" t="str">
        <f>IF((A683="")*(B683=""),"",IF(ISERROR(MATCH(E683,WKNrListe,0)),"WK falsch",LOOKUP(E683,WKNrListe,Übersicht!$B$7:$B$46)))</f>
        <v/>
      </c>
      <c r="Z683" s="269" t="str">
        <f>IF(((AJ683=0)*(AH683&lt;&gt;"")*(AK683="-"))+((AJ683&lt;&gt;0)*(AH683&lt;&gt;"")*(AK683="-")),IF(AG683="X",Übersicht!$C$70,Übersicht!$C$69),"-")</f>
        <v>-</v>
      </c>
      <c r="AA683" s="252" t="str">
        <f>IF((($A683="")*($B683=""))+((MID($Y683,1,4)&lt;&gt;"Wahl")*(Deckblatt!$C$14='WK-Vorlagen'!$C$82))+(Deckblatt!$C$14&lt;&gt;'WK-Vorlagen'!$C$82),"",IF(ISERROR(MATCH(VALUE(MID(G683,1,2)),Schwierigkeitsstufen!$G$7:$G$19,0)),"Gerät falsch",LOOKUP(VALUE(MID(G683,1,2)),Schwierigkeitsstufen!$G$7:$G$19,Schwierigkeitsstufen!$H$7:$H$19)))</f>
        <v/>
      </c>
      <c r="AB683" s="250" t="str">
        <f>IF((($A683="")*($B683=""))+((MID($Y683,1,4)&lt;&gt;"Wahl")*(Deckblatt!$C$14='WK-Vorlagen'!$C$82))+(Deckblatt!$C$14&lt;&gt;'WK-Vorlagen'!$C$82),"",IF(ISERROR(MATCH(VALUE(MID(H683,1,2)),Schwierigkeitsstufen!$G$7:$G$19,0)),"Gerät falsch",LOOKUP(VALUE(MID(H683,1,2)),Schwierigkeitsstufen!$G$7:$G$19,Schwierigkeitsstufen!$H$7:$H$19)))</f>
        <v/>
      </c>
      <c r="AC683" s="250" t="str">
        <f>IF((($A683="")*($B683=""))+((MID($Y683,1,4)&lt;&gt;"Wahl")*(Deckblatt!$C$14='WK-Vorlagen'!$C$82))+(Deckblatt!$C$14&lt;&gt;'WK-Vorlagen'!$C$82),"",IF(ISERROR(MATCH(VALUE(MID(I683,1,2)),Schwierigkeitsstufen!$G$7:$G$19,0)),"Gerät falsch",LOOKUP(VALUE(MID(I683,1,2)),Schwierigkeitsstufen!$G$7:$G$19,Schwierigkeitsstufen!$H$7:$H$19)))</f>
        <v/>
      </c>
      <c r="AD683" s="251" t="str">
        <f>IF((($A683="")*($B683=""))+((MID($Y683,1,4)&lt;&gt;"Wahl")*(Deckblatt!$C$14='WK-Vorlagen'!$C$82))+(Deckblatt!$C$14&lt;&gt;'WK-Vorlagen'!$C$82),"",IF(ISERROR(MATCH(VALUE(MID(J683,1,2)),Schwierigkeitsstufen!$G$7:$G$19,0)),"Gerät falsch",LOOKUP(VALUE(MID(J683,1,2)),Schwierigkeitsstufen!$G$7:$G$19,Schwierigkeitsstufen!$H$7:$H$19)))</f>
        <v/>
      </c>
      <c r="AE683" s="211"/>
      <c r="AG683" s="221" t="str">
        <f t="shared" si="90"/>
        <v/>
      </c>
      <c r="AH683" s="222" t="str">
        <f t="shared" si="92"/>
        <v/>
      </c>
      <c r="AI683" s="220">
        <f t="shared" si="97"/>
        <v>4</v>
      </c>
      <c r="AJ683" s="222">
        <f t="shared" si="93"/>
        <v>0</v>
      </c>
      <c r="AK683" s="299" t="str">
        <f>IF(ISERROR(LOOKUP(E683,WKNrListe,Übersicht!$R$7:$R$46)),"-",LOOKUP(E683,WKNrListe,Übersicht!$R$7:$R$46))</f>
        <v>-</v>
      </c>
      <c r="AL683" s="299" t="str">
        <f t="shared" si="96"/>
        <v>-</v>
      </c>
      <c r="AM683" s="303"/>
      <c r="AN683" s="174" t="str">
        <f t="shared" si="89"/>
        <v>Leer</v>
      </c>
    </row>
    <row r="684" spans="1:40" s="174" customFormat="1" ht="15" customHeight="1">
      <c r="A684" s="63"/>
      <c r="B684" s="63"/>
      <c r="C684" s="84"/>
      <c r="D684" s="85"/>
      <c r="E684" s="62"/>
      <c r="F684" s="62"/>
      <c r="G684" s="62"/>
      <c r="H684" s="62"/>
      <c r="I684" s="62"/>
      <c r="J684" s="62"/>
      <c r="K684" s="62"/>
      <c r="L684" s="62"/>
      <c r="M684" s="62"/>
      <c r="N684" s="62"/>
      <c r="O684" s="62"/>
      <c r="P684" s="62"/>
      <c r="Q684" s="62"/>
      <c r="R684" s="62"/>
      <c r="S684" s="258"/>
      <c r="T684" s="248" t="str">
        <f t="shared" si="94"/>
        <v/>
      </c>
      <c r="U684" s="249" t="str">
        <f t="shared" si="95"/>
        <v/>
      </c>
      <c r="V684" s="294" t="str">
        <f t="shared" si="91"/>
        <v/>
      </c>
      <c r="W684" s="294" t="str">
        <f>IF(((E684="")+(F684="")),"",IF(VLOOKUP(F684,Mannschaften!$A$1:$B$54,2,FALSE)&lt;&gt;E684,"Reiter Mannschaften füllen",""))</f>
        <v/>
      </c>
      <c r="X684" s="248" t="str">
        <f>IF(ISBLANK(C684),"",IF((U684&gt;(LOOKUP(E684,WKNrListe,Übersicht!$O$7:$O$46)))+(U684&lt;(LOOKUP(E684,WKNrListe,Übersicht!$P$7:$P$46))),"JG falsch",""))</f>
        <v/>
      </c>
      <c r="Y684" s="255" t="str">
        <f>IF((A684="")*(B684=""),"",IF(ISERROR(MATCH(E684,WKNrListe,0)),"WK falsch",LOOKUP(E684,WKNrListe,Übersicht!$B$7:$B$46)))</f>
        <v/>
      </c>
      <c r="Z684" s="269" t="str">
        <f>IF(((AJ684=0)*(AH684&lt;&gt;"")*(AK684="-"))+((AJ684&lt;&gt;0)*(AH684&lt;&gt;"")*(AK684="-")),IF(AG684="X",Übersicht!$C$70,Übersicht!$C$69),"-")</f>
        <v>-</v>
      </c>
      <c r="AA684" s="252" t="str">
        <f>IF((($A684="")*($B684=""))+((MID($Y684,1,4)&lt;&gt;"Wahl")*(Deckblatt!$C$14='WK-Vorlagen'!$C$82))+(Deckblatt!$C$14&lt;&gt;'WK-Vorlagen'!$C$82),"",IF(ISERROR(MATCH(VALUE(MID(G684,1,2)),Schwierigkeitsstufen!$G$7:$G$19,0)),"Gerät falsch",LOOKUP(VALUE(MID(G684,1,2)),Schwierigkeitsstufen!$G$7:$G$19,Schwierigkeitsstufen!$H$7:$H$19)))</f>
        <v/>
      </c>
      <c r="AB684" s="250" t="str">
        <f>IF((($A684="")*($B684=""))+((MID($Y684,1,4)&lt;&gt;"Wahl")*(Deckblatt!$C$14='WK-Vorlagen'!$C$82))+(Deckblatt!$C$14&lt;&gt;'WK-Vorlagen'!$C$82),"",IF(ISERROR(MATCH(VALUE(MID(H684,1,2)),Schwierigkeitsstufen!$G$7:$G$19,0)),"Gerät falsch",LOOKUP(VALUE(MID(H684,1,2)),Schwierigkeitsstufen!$G$7:$G$19,Schwierigkeitsstufen!$H$7:$H$19)))</f>
        <v/>
      </c>
      <c r="AC684" s="250" t="str">
        <f>IF((($A684="")*($B684=""))+((MID($Y684,1,4)&lt;&gt;"Wahl")*(Deckblatt!$C$14='WK-Vorlagen'!$C$82))+(Deckblatt!$C$14&lt;&gt;'WK-Vorlagen'!$C$82),"",IF(ISERROR(MATCH(VALUE(MID(I684,1,2)),Schwierigkeitsstufen!$G$7:$G$19,0)),"Gerät falsch",LOOKUP(VALUE(MID(I684,1,2)),Schwierigkeitsstufen!$G$7:$G$19,Schwierigkeitsstufen!$H$7:$H$19)))</f>
        <v/>
      </c>
      <c r="AD684" s="251" t="str">
        <f>IF((($A684="")*($B684=""))+((MID($Y684,1,4)&lt;&gt;"Wahl")*(Deckblatt!$C$14='WK-Vorlagen'!$C$82))+(Deckblatt!$C$14&lt;&gt;'WK-Vorlagen'!$C$82),"",IF(ISERROR(MATCH(VALUE(MID(J684,1,2)),Schwierigkeitsstufen!$G$7:$G$19,0)),"Gerät falsch",LOOKUP(VALUE(MID(J684,1,2)),Schwierigkeitsstufen!$G$7:$G$19,Schwierigkeitsstufen!$H$7:$H$19)))</f>
        <v/>
      </c>
      <c r="AE684" s="211"/>
      <c r="AG684" s="221" t="str">
        <f t="shared" si="90"/>
        <v/>
      </c>
      <c r="AH684" s="222" t="str">
        <f t="shared" si="92"/>
        <v/>
      </c>
      <c r="AI684" s="220">
        <f t="shared" si="97"/>
        <v>4</v>
      </c>
      <c r="AJ684" s="222">
        <f t="shared" si="93"/>
        <v>0</v>
      </c>
      <c r="AK684" s="299" t="str">
        <f>IF(ISERROR(LOOKUP(E684,WKNrListe,Übersicht!$R$7:$R$46)),"-",LOOKUP(E684,WKNrListe,Übersicht!$R$7:$R$46))</f>
        <v>-</v>
      </c>
      <c r="AL684" s="299" t="str">
        <f t="shared" si="96"/>
        <v>-</v>
      </c>
      <c r="AM684" s="303"/>
      <c r="AN684" s="174" t="str">
        <f t="shared" si="89"/>
        <v>Leer</v>
      </c>
    </row>
    <row r="685" spans="1:40" s="174" customFormat="1" ht="15" customHeight="1">
      <c r="A685" s="63"/>
      <c r="B685" s="63"/>
      <c r="C685" s="84"/>
      <c r="D685" s="85"/>
      <c r="E685" s="62"/>
      <c r="F685" s="62"/>
      <c r="G685" s="62"/>
      <c r="H685" s="62"/>
      <c r="I685" s="62"/>
      <c r="J685" s="62"/>
      <c r="K685" s="62"/>
      <c r="L685" s="62"/>
      <c r="M685" s="62"/>
      <c r="N685" s="62"/>
      <c r="O685" s="62"/>
      <c r="P685" s="62"/>
      <c r="Q685" s="62"/>
      <c r="R685" s="62"/>
      <c r="S685" s="258"/>
      <c r="T685" s="248" t="str">
        <f t="shared" si="94"/>
        <v/>
      </c>
      <c r="U685" s="249" t="str">
        <f t="shared" si="95"/>
        <v/>
      </c>
      <c r="V685" s="294" t="str">
        <f t="shared" si="91"/>
        <v/>
      </c>
      <c r="W685" s="294" t="str">
        <f>IF(((E685="")+(F685="")),"",IF(VLOOKUP(F685,Mannschaften!$A$1:$B$54,2,FALSE)&lt;&gt;E685,"Reiter Mannschaften füllen",""))</f>
        <v/>
      </c>
      <c r="X685" s="248" t="str">
        <f>IF(ISBLANK(C685),"",IF((U685&gt;(LOOKUP(E685,WKNrListe,Übersicht!$O$7:$O$46)))+(U685&lt;(LOOKUP(E685,WKNrListe,Übersicht!$P$7:$P$46))),"JG falsch",""))</f>
        <v/>
      </c>
      <c r="Y685" s="255" t="str">
        <f>IF((A685="")*(B685=""),"",IF(ISERROR(MATCH(E685,WKNrListe,0)),"WK falsch",LOOKUP(E685,WKNrListe,Übersicht!$B$7:$B$46)))</f>
        <v/>
      </c>
      <c r="Z685" s="269" t="str">
        <f>IF(((AJ685=0)*(AH685&lt;&gt;"")*(AK685="-"))+((AJ685&lt;&gt;0)*(AH685&lt;&gt;"")*(AK685="-")),IF(AG685="X",Übersicht!$C$70,Übersicht!$C$69),"-")</f>
        <v>-</v>
      </c>
      <c r="AA685" s="252" t="str">
        <f>IF((($A685="")*($B685=""))+((MID($Y685,1,4)&lt;&gt;"Wahl")*(Deckblatt!$C$14='WK-Vorlagen'!$C$82))+(Deckblatt!$C$14&lt;&gt;'WK-Vorlagen'!$C$82),"",IF(ISERROR(MATCH(VALUE(MID(G685,1,2)),Schwierigkeitsstufen!$G$7:$G$19,0)),"Gerät falsch",LOOKUP(VALUE(MID(G685,1,2)),Schwierigkeitsstufen!$G$7:$G$19,Schwierigkeitsstufen!$H$7:$H$19)))</f>
        <v/>
      </c>
      <c r="AB685" s="250" t="str">
        <f>IF((($A685="")*($B685=""))+((MID($Y685,1,4)&lt;&gt;"Wahl")*(Deckblatt!$C$14='WK-Vorlagen'!$C$82))+(Deckblatt!$C$14&lt;&gt;'WK-Vorlagen'!$C$82),"",IF(ISERROR(MATCH(VALUE(MID(H685,1,2)),Schwierigkeitsstufen!$G$7:$G$19,0)),"Gerät falsch",LOOKUP(VALUE(MID(H685,1,2)),Schwierigkeitsstufen!$G$7:$G$19,Schwierigkeitsstufen!$H$7:$H$19)))</f>
        <v/>
      </c>
      <c r="AC685" s="250" t="str">
        <f>IF((($A685="")*($B685=""))+((MID($Y685,1,4)&lt;&gt;"Wahl")*(Deckblatt!$C$14='WK-Vorlagen'!$C$82))+(Deckblatt!$C$14&lt;&gt;'WK-Vorlagen'!$C$82),"",IF(ISERROR(MATCH(VALUE(MID(I685,1,2)),Schwierigkeitsstufen!$G$7:$G$19,0)),"Gerät falsch",LOOKUP(VALUE(MID(I685,1,2)),Schwierigkeitsstufen!$G$7:$G$19,Schwierigkeitsstufen!$H$7:$H$19)))</f>
        <v/>
      </c>
      <c r="AD685" s="251" t="str">
        <f>IF((($A685="")*($B685=""))+((MID($Y685,1,4)&lt;&gt;"Wahl")*(Deckblatt!$C$14='WK-Vorlagen'!$C$82))+(Deckblatt!$C$14&lt;&gt;'WK-Vorlagen'!$C$82),"",IF(ISERROR(MATCH(VALUE(MID(J685,1,2)),Schwierigkeitsstufen!$G$7:$G$19,0)),"Gerät falsch",LOOKUP(VALUE(MID(J685,1,2)),Schwierigkeitsstufen!$G$7:$G$19,Schwierigkeitsstufen!$H$7:$H$19)))</f>
        <v/>
      </c>
      <c r="AE685" s="211"/>
      <c r="AG685" s="221" t="str">
        <f t="shared" si="90"/>
        <v/>
      </c>
      <c r="AH685" s="222" t="str">
        <f t="shared" si="92"/>
        <v/>
      </c>
      <c r="AI685" s="220">
        <f t="shared" si="97"/>
        <v>4</v>
      </c>
      <c r="AJ685" s="222">
        <f t="shared" si="93"/>
        <v>0</v>
      </c>
      <c r="AK685" s="299" t="str">
        <f>IF(ISERROR(LOOKUP(E685,WKNrListe,Übersicht!$R$7:$R$46)),"-",LOOKUP(E685,WKNrListe,Übersicht!$R$7:$R$46))</f>
        <v>-</v>
      </c>
      <c r="AL685" s="299" t="str">
        <f t="shared" si="96"/>
        <v>-</v>
      </c>
      <c r="AM685" s="303"/>
      <c r="AN685" s="174" t="str">
        <f t="shared" si="89"/>
        <v>Leer</v>
      </c>
    </row>
    <row r="686" spans="1:40" s="174" customFormat="1" ht="15" customHeight="1">
      <c r="A686" s="63"/>
      <c r="B686" s="63"/>
      <c r="C686" s="84"/>
      <c r="D686" s="85"/>
      <c r="E686" s="62"/>
      <c r="F686" s="62"/>
      <c r="G686" s="62"/>
      <c r="H686" s="62"/>
      <c r="I686" s="62"/>
      <c r="J686" s="62"/>
      <c r="K686" s="62"/>
      <c r="L686" s="62"/>
      <c r="M686" s="62"/>
      <c r="N686" s="62"/>
      <c r="O686" s="62"/>
      <c r="P686" s="62"/>
      <c r="Q686" s="62"/>
      <c r="R686" s="62"/>
      <c r="S686" s="258"/>
      <c r="T686" s="248" t="str">
        <f t="shared" si="94"/>
        <v/>
      </c>
      <c r="U686" s="249" t="str">
        <f t="shared" si="95"/>
        <v/>
      </c>
      <c r="V686" s="294" t="str">
        <f t="shared" si="91"/>
        <v/>
      </c>
      <c r="W686" s="294" t="str">
        <f>IF(((E686="")+(F686="")),"",IF(VLOOKUP(F686,Mannschaften!$A$1:$B$54,2,FALSE)&lt;&gt;E686,"Reiter Mannschaften füllen",""))</f>
        <v/>
      </c>
      <c r="X686" s="248" t="str">
        <f>IF(ISBLANK(C686),"",IF((U686&gt;(LOOKUP(E686,WKNrListe,Übersicht!$O$7:$O$46)))+(U686&lt;(LOOKUP(E686,WKNrListe,Übersicht!$P$7:$P$46))),"JG falsch",""))</f>
        <v/>
      </c>
      <c r="Y686" s="255" t="str">
        <f>IF((A686="")*(B686=""),"",IF(ISERROR(MATCH(E686,WKNrListe,0)),"WK falsch",LOOKUP(E686,WKNrListe,Übersicht!$B$7:$B$46)))</f>
        <v/>
      </c>
      <c r="Z686" s="269" t="str">
        <f>IF(((AJ686=0)*(AH686&lt;&gt;"")*(AK686="-"))+((AJ686&lt;&gt;0)*(AH686&lt;&gt;"")*(AK686="-")),IF(AG686="X",Übersicht!$C$70,Übersicht!$C$69),"-")</f>
        <v>-</v>
      </c>
      <c r="AA686" s="252" t="str">
        <f>IF((($A686="")*($B686=""))+((MID($Y686,1,4)&lt;&gt;"Wahl")*(Deckblatt!$C$14='WK-Vorlagen'!$C$82))+(Deckblatt!$C$14&lt;&gt;'WK-Vorlagen'!$C$82),"",IF(ISERROR(MATCH(VALUE(MID(G686,1,2)),Schwierigkeitsstufen!$G$7:$G$19,0)),"Gerät falsch",LOOKUP(VALUE(MID(G686,1,2)),Schwierigkeitsstufen!$G$7:$G$19,Schwierigkeitsstufen!$H$7:$H$19)))</f>
        <v/>
      </c>
      <c r="AB686" s="250" t="str">
        <f>IF((($A686="")*($B686=""))+((MID($Y686,1,4)&lt;&gt;"Wahl")*(Deckblatt!$C$14='WK-Vorlagen'!$C$82))+(Deckblatt!$C$14&lt;&gt;'WK-Vorlagen'!$C$82),"",IF(ISERROR(MATCH(VALUE(MID(H686,1,2)),Schwierigkeitsstufen!$G$7:$G$19,0)),"Gerät falsch",LOOKUP(VALUE(MID(H686,1,2)),Schwierigkeitsstufen!$G$7:$G$19,Schwierigkeitsstufen!$H$7:$H$19)))</f>
        <v/>
      </c>
      <c r="AC686" s="250" t="str">
        <f>IF((($A686="")*($B686=""))+((MID($Y686,1,4)&lt;&gt;"Wahl")*(Deckblatt!$C$14='WK-Vorlagen'!$C$82))+(Deckblatt!$C$14&lt;&gt;'WK-Vorlagen'!$C$82),"",IF(ISERROR(MATCH(VALUE(MID(I686,1,2)),Schwierigkeitsstufen!$G$7:$G$19,0)),"Gerät falsch",LOOKUP(VALUE(MID(I686,1,2)),Schwierigkeitsstufen!$G$7:$G$19,Schwierigkeitsstufen!$H$7:$H$19)))</f>
        <v/>
      </c>
      <c r="AD686" s="251" t="str">
        <f>IF((($A686="")*($B686=""))+((MID($Y686,1,4)&lt;&gt;"Wahl")*(Deckblatt!$C$14='WK-Vorlagen'!$C$82))+(Deckblatt!$C$14&lt;&gt;'WK-Vorlagen'!$C$82),"",IF(ISERROR(MATCH(VALUE(MID(J686,1,2)),Schwierigkeitsstufen!$G$7:$G$19,0)),"Gerät falsch",LOOKUP(VALUE(MID(J686,1,2)),Schwierigkeitsstufen!$G$7:$G$19,Schwierigkeitsstufen!$H$7:$H$19)))</f>
        <v/>
      </c>
      <c r="AE686" s="211"/>
      <c r="AG686" s="221" t="str">
        <f t="shared" si="90"/>
        <v/>
      </c>
      <c r="AH686" s="222" t="str">
        <f t="shared" si="92"/>
        <v/>
      </c>
      <c r="AI686" s="220">
        <f t="shared" si="97"/>
        <v>4</v>
      </c>
      <c r="AJ686" s="222">
        <f t="shared" si="93"/>
        <v>0</v>
      </c>
      <c r="AK686" s="299" t="str">
        <f>IF(ISERROR(LOOKUP(E686,WKNrListe,Übersicht!$R$7:$R$46)),"-",LOOKUP(E686,WKNrListe,Übersicht!$R$7:$R$46))</f>
        <v>-</v>
      </c>
      <c r="AL686" s="299" t="str">
        <f t="shared" si="96"/>
        <v>-</v>
      </c>
      <c r="AM686" s="303"/>
      <c r="AN686" s="174" t="str">
        <f t="shared" si="89"/>
        <v>Leer</v>
      </c>
    </row>
    <row r="687" spans="1:40" s="174" customFormat="1" ht="15" customHeight="1">
      <c r="A687" s="63"/>
      <c r="B687" s="63"/>
      <c r="C687" s="84"/>
      <c r="D687" s="85"/>
      <c r="E687" s="62"/>
      <c r="F687" s="62"/>
      <c r="G687" s="62"/>
      <c r="H687" s="62"/>
      <c r="I687" s="62"/>
      <c r="J687" s="62"/>
      <c r="K687" s="62"/>
      <c r="L687" s="62"/>
      <c r="M687" s="62"/>
      <c r="N687" s="62"/>
      <c r="O687" s="62"/>
      <c r="P687" s="62"/>
      <c r="Q687" s="62"/>
      <c r="R687" s="62"/>
      <c r="S687" s="258"/>
      <c r="T687" s="248" t="str">
        <f t="shared" si="94"/>
        <v/>
      </c>
      <c r="U687" s="249" t="str">
        <f t="shared" si="95"/>
        <v/>
      </c>
      <c r="V687" s="294" t="str">
        <f t="shared" si="91"/>
        <v/>
      </c>
      <c r="W687" s="294" t="str">
        <f>IF(((E687="")+(F687="")),"",IF(VLOOKUP(F687,Mannschaften!$A$1:$B$54,2,FALSE)&lt;&gt;E687,"Reiter Mannschaften füllen",""))</f>
        <v/>
      </c>
      <c r="X687" s="248" t="str">
        <f>IF(ISBLANK(C687),"",IF((U687&gt;(LOOKUP(E687,WKNrListe,Übersicht!$O$7:$O$46)))+(U687&lt;(LOOKUP(E687,WKNrListe,Übersicht!$P$7:$P$46))),"JG falsch",""))</f>
        <v/>
      </c>
      <c r="Y687" s="255" t="str">
        <f>IF((A687="")*(B687=""),"",IF(ISERROR(MATCH(E687,WKNrListe,0)),"WK falsch",LOOKUP(E687,WKNrListe,Übersicht!$B$7:$B$46)))</f>
        <v/>
      </c>
      <c r="Z687" s="269" t="str">
        <f>IF(((AJ687=0)*(AH687&lt;&gt;"")*(AK687="-"))+((AJ687&lt;&gt;0)*(AH687&lt;&gt;"")*(AK687="-")),IF(AG687="X",Übersicht!$C$70,Übersicht!$C$69),"-")</f>
        <v>-</v>
      </c>
      <c r="AA687" s="252" t="str">
        <f>IF((($A687="")*($B687=""))+((MID($Y687,1,4)&lt;&gt;"Wahl")*(Deckblatt!$C$14='WK-Vorlagen'!$C$82))+(Deckblatt!$C$14&lt;&gt;'WK-Vorlagen'!$C$82),"",IF(ISERROR(MATCH(VALUE(MID(G687,1,2)),Schwierigkeitsstufen!$G$7:$G$19,0)),"Gerät falsch",LOOKUP(VALUE(MID(G687,1,2)),Schwierigkeitsstufen!$G$7:$G$19,Schwierigkeitsstufen!$H$7:$H$19)))</f>
        <v/>
      </c>
      <c r="AB687" s="250" t="str">
        <f>IF((($A687="")*($B687=""))+((MID($Y687,1,4)&lt;&gt;"Wahl")*(Deckblatt!$C$14='WK-Vorlagen'!$C$82))+(Deckblatt!$C$14&lt;&gt;'WK-Vorlagen'!$C$82),"",IF(ISERROR(MATCH(VALUE(MID(H687,1,2)),Schwierigkeitsstufen!$G$7:$G$19,0)),"Gerät falsch",LOOKUP(VALUE(MID(H687,1,2)),Schwierigkeitsstufen!$G$7:$G$19,Schwierigkeitsstufen!$H$7:$H$19)))</f>
        <v/>
      </c>
      <c r="AC687" s="250" t="str">
        <f>IF((($A687="")*($B687=""))+((MID($Y687,1,4)&lt;&gt;"Wahl")*(Deckblatt!$C$14='WK-Vorlagen'!$C$82))+(Deckblatt!$C$14&lt;&gt;'WK-Vorlagen'!$C$82),"",IF(ISERROR(MATCH(VALUE(MID(I687,1,2)),Schwierigkeitsstufen!$G$7:$G$19,0)),"Gerät falsch",LOOKUP(VALUE(MID(I687,1,2)),Schwierigkeitsstufen!$G$7:$G$19,Schwierigkeitsstufen!$H$7:$H$19)))</f>
        <v/>
      </c>
      <c r="AD687" s="251" t="str">
        <f>IF((($A687="")*($B687=""))+((MID($Y687,1,4)&lt;&gt;"Wahl")*(Deckblatt!$C$14='WK-Vorlagen'!$C$82))+(Deckblatt!$C$14&lt;&gt;'WK-Vorlagen'!$C$82),"",IF(ISERROR(MATCH(VALUE(MID(J687,1,2)),Schwierigkeitsstufen!$G$7:$G$19,0)),"Gerät falsch",LOOKUP(VALUE(MID(J687,1,2)),Schwierigkeitsstufen!$G$7:$G$19,Schwierigkeitsstufen!$H$7:$H$19)))</f>
        <v/>
      </c>
      <c r="AE687" s="211"/>
      <c r="AG687" s="221" t="str">
        <f t="shared" si="90"/>
        <v/>
      </c>
      <c r="AH687" s="222" t="str">
        <f t="shared" si="92"/>
        <v/>
      </c>
      <c r="AI687" s="220">
        <f t="shared" si="97"/>
        <v>4</v>
      </c>
      <c r="AJ687" s="222">
        <f t="shared" si="93"/>
        <v>0</v>
      </c>
      <c r="AK687" s="299" t="str">
        <f>IF(ISERROR(LOOKUP(E687,WKNrListe,Übersicht!$R$7:$R$46)),"-",LOOKUP(E687,WKNrListe,Übersicht!$R$7:$R$46))</f>
        <v>-</v>
      </c>
      <c r="AL687" s="299" t="str">
        <f t="shared" si="96"/>
        <v>-</v>
      </c>
      <c r="AM687" s="303"/>
      <c r="AN687" s="174" t="str">
        <f t="shared" ref="AN687:AN750" si="98">IF(ISBLANK(A687)*ISBLANK(B687)*ISBLANK(C687)*ISBLANK(E687)*ISBLANK(F687)*ISBLANK(G687)*ISBLANK(H687)*ISBLANK(I687)*ISBLANK(J687),"Leer","Voll")</f>
        <v>Leer</v>
      </c>
    </row>
    <row r="688" spans="1:40" s="174" customFormat="1" ht="15" customHeight="1">
      <c r="A688" s="63"/>
      <c r="B688" s="63"/>
      <c r="C688" s="84"/>
      <c r="D688" s="85"/>
      <c r="E688" s="62"/>
      <c r="F688" s="62"/>
      <c r="G688" s="62"/>
      <c r="H688" s="62"/>
      <c r="I688" s="62"/>
      <c r="J688" s="62"/>
      <c r="K688" s="62"/>
      <c r="L688" s="62"/>
      <c r="M688" s="62"/>
      <c r="N688" s="62"/>
      <c r="O688" s="62"/>
      <c r="P688" s="62"/>
      <c r="Q688" s="62"/>
      <c r="R688" s="62"/>
      <c r="S688" s="258"/>
      <c r="T688" s="248" t="str">
        <f t="shared" si="94"/>
        <v/>
      </c>
      <c r="U688" s="249" t="str">
        <f t="shared" si="95"/>
        <v/>
      </c>
      <c r="V688" s="294" t="str">
        <f t="shared" si="91"/>
        <v/>
      </c>
      <c r="W688" s="294" t="str">
        <f>IF(((E688="")+(F688="")),"",IF(VLOOKUP(F688,Mannschaften!$A$1:$B$54,2,FALSE)&lt;&gt;E688,"Reiter Mannschaften füllen",""))</f>
        <v/>
      </c>
      <c r="X688" s="248" t="str">
        <f>IF(ISBLANK(C688),"",IF((U688&gt;(LOOKUP(E688,WKNrListe,Übersicht!$O$7:$O$46)))+(U688&lt;(LOOKUP(E688,WKNrListe,Übersicht!$P$7:$P$46))),"JG falsch",""))</f>
        <v/>
      </c>
      <c r="Y688" s="255" t="str">
        <f>IF((A688="")*(B688=""),"",IF(ISERROR(MATCH(E688,WKNrListe,0)),"WK falsch",LOOKUP(E688,WKNrListe,Übersicht!$B$7:$B$46)))</f>
        <v/>
      </c>
      <c r="Z688" s="269" t="str">
        <f>IF(((AJ688=0)*(AH688&lt;&gt;"")*(AK688="-"))+((AJ688&lt;&gt;0)*(AH688&lt;&gt;"")*(AK688="-")),IF(AG688="X",Übersicht!$C$70,Übersicht!$C$69),"-")</f>
        <v>-</v>
      </c>
      <c r="AA688" s="252" t="str">
        <f>IF((($A688="")*($B688=""))+((MID($Y688,1,4)&lt;&gt;"Wahl")*(Deckblatt!$C$14='WK-Vorlagen'!$C$82))+(Deckblatt!$C$14&lt;&gt;'WK-Vorlagen'!$C$82),"",IF(ISERROR(MATCH(VALUE(MID(G688,1,2)),Schwierigkeitsstufen!$G$7:$G$19,0)),"Gerät falsch",LOOKUP(VALUE(MID(G688,1,2)),Schwierigkeitsstufen!$G$7:$G$19,Schwierigkeitsstufen!$H$7:$H$19)))</f>
        <v/>
      </c>
      <c r="AB688" s="250" t="str">
        <f>IF((($A688="")*($B688=""))+((MID($Y688,1,4)&lt;&gt;"Wahl")*(Deckblatt!$C$14='WK-Vorlagen'!$C$82))+(Deckblatt!$C$14&lt;&gt;'WK-Vorlagen'!$C$82),"",IF(ISERROR(MATCH(VALUE(MID(H688,1,2)),Schwierigkeitsstufen!$G$7:$G$19,0)),"Gerät falsch",LOOKUP(VALUE(MID(H688,1,2)),Schwierigkeitsstufen!$G$7:$G$19,Schwierigkeitsstufen!$H$7:$H$19)))</f>
        <v/>
      </c>
      <c r="AC688" s="250" t="str">
        <f>IF((($A688="")*($B688=""))+((MID($Y688,1,4)&lt;&gt;"Wahl")*(Deckblatt!$C$14='WK-Vorlagen'!$C$82))+(Deckblatt!$C$14&lt;&gt;'WK-Vorlagen'!$C$82),"",IF(ISERROR(MATCH(VALUE(MID(I688,1,2)),Schwierigkeitsstufen!$G$7:$G$19,0)),"Gerät falsch",LOOKUP(VALUE(MID(I688,1,2)),Schwierigkeitsstufen!$G$7:$G$19,Schwierigkeitsstufen!$H$7:$H$19)))</f>
        <v/>
      </c>
      <c r="AD688" s="251" t="str">
        <f>IF((($A688="")*($B688=""))+((MID($Y688,1,4)&lt;&gt;"Wahl")*(Deckblatt!$C$14='WK-Vorlagen'!$C$82))+(Deckblatt!$C$14&lt;&gt;'WK-Vorlagen'!$C$82),"",IF(ISERROR(MATCH(VALUE(MID(J688,1,2)),Schwierigkeitsstufen!$G$7:$G$19,0)),"Gerät falsch",LOOKUP(VALUE(MID(J688,1,2)),Schwierigkeitsstufen!$G$7:$G$19,Schwierigkeitsstufen!$H$7:$H$19)))</f>
        <v/>
      </c>
      <c r="AE688" s="211"/>
      <c r="AG688" s="221" t="str">
        <f t="shared" si="90"/>
        <v/>
      </c>
      <c r="AH688" s="222" t="str">
        <f t="shared" si="92"/>
        <v/>
      </c>
      <c r="AI688" s="220">
        <f t="shared" si="97"/>
        <v>4</v>
      </c>
      <c r="AJ688" s="222">
        <f t="shared" si="93"/>
        <v>0</v>
      </c>
      <c r="AK688" s="299" t="str">
        <f>IF(ISERROR(LOOKUP(E688,WKNrListe,Übersicht!$R$7:$R$46)),"-",LOOKUP(E688,WKNrListe,Übersicht!$R$7:$R$46))</f>
        <v>-</v>
      </c>
      <c r="AL688" s="299" t="str">
        <f t="shared" si="96"/>
        <v>-</v>
      </c>
      <c r="AM688" s="303"/>
      <c r="AN688" s="174" t="str">
        <f t="shared" si="98"/>
        <v>Leer</v>
      </c>
    </row>
    <row r="689" spans="1:40" s="174" customFormat="1" ht="15" customHeight="1">
      <c r="A689" s="63"/>
      <c r="B689" s="63"/>
      <c r="C689" s="84"/>
      <c r="D689" s="85"/>
      <c r="E689" s="62"/>
      <c r="F689" s="62"/>
      <c r="G689" s="62"/>
      <c r="H689" s="62"/>
      <c r="I689" s="62"/>
      <c r="J689" s="62"/>
      <c r="K689" s="62"/>
      <c r="L689" s="62"/>
      <c r="M689" s="62"/>
      <c r="N689" s="62"/>
      <c r="O689" s="62"/>
      <c r="P689" s="62"/>
      <c r="Q689" s="62"/>
      <c r="R689" s="62"/>
      <c r="S689" s="258"/>
      <c r="T689" s="248" t="str">
        <f t="shared" si="94"/>
        <v/>
      </c>
      <c r="U689" s="249" t="str">
        <f t="shared" si="95"/>
        <v/>
      </c>
      <c r="V689" s="294" t="str">
        <f t="shared" si="91"/>
        <v/>
      </c>
      <c r="W689" s="294" t="str">
        <f>IF(((E689="")+(F689="")),"",IF(VLOOKUP(F689,Mannschaften!$A$1:$B$54,2,FALSE)&lt;&gt;E689,"Reiter Mannschaften füllen",""))</f>
        <v/>
      </c>
      <c r="X689" s="248" t="str">
        <f>IF(ISBLANK(C689),"",IF((U689&gt;(LOOKUP(E689,WKNrListe,Übersicht!$O$7:$O$46)))+(U689&lt;(LOOKUP(E689,WKNrListe,Übersicht!$P$7:$P$46))),"JG falsch",""))</f>
        <v/>
      </c>
      <c r="Y689" s="255" t="str">
        <f>IF((A689="")*(B689=""),"",IF(ISERROR(MATCH(E689,WKNrListe,0)),"WK falsch",LOOKUP(E689,WKNrListe,Übersicht!$B$7:$B$46)))</f>
        <v/>
      </c>
      <c r="Z689" s="269" t="str">
        <f>IF(((AJ689=0)*(AH689&lt;&gt;"")*(AK689="-"))+((AJ689&lt;&gt;0)*(AH689&lt;&gt;"")*(AK689="-")),IF(AG689="X",Übersicht!$C$70,Übersicht!$C$69),"-")</f>
        <v>-</v>
      </c>
      <c r="AA689" s="252" t="str">
        <f>IF((($A689="")*($B689=""))+((MID($Y689,1,4)&lt;&gt;"Wahl")*(Deckblatt!$C$14='WK-Vorlagen'!$C$82))+(Deckblatt!$C$14&lt;&gt;'WK-Vorlagen'!$C$82),"",IF(ISERROR(MATCH(VALUE(MID(G689,1,2)),Schwierigkeitsstufen!$G$7:$G$19,0)),"Gerät falsch",LOOKUP(VALUE(MID(G689,1,2)),Schwierigkeitsstufen!$G$7:$G$19,Schwierigkeitsstufen!$H$7:$H$19)))</f>
        <v/>
      </c>
      <c r="AB689" s="250" t="str">
        <f>IF((($A689="")*($B689=""))+((MID($Y689,1,4)&lt;&gt;"Wahl")*(Deckblatt!$C$14='WK-Vorlagen'!$C$82))+(Deckblatt!$C$14&lt;&gt;'WK-Vorlagen'!$C$82),"",IF(ISERROR(MATCH(VALUE(MID(H689,1,2)),Schwierigkeitsstufen!$G$7:$G$19,0)),"Gerät falsch",LOOKUP(VALUE(MID(H689,1,2)),Schwierigkeitsstufen!$G$7:$G$19,Schwierigkeitsstufen!$H$7:$H$19)))</f>
        <v/>
      </c>
      <c r="AC689" s="250" t="str">
        <f>IF((($A689="")*($B689=""))+((MID($Y689,1,4)&lt;&gt;"Wahl")*(Deckblatt!$C$14='WK-Vorlagen'!$C$82))+(Deckblatt!$C$14&lt;&gt;'WK-Vorlagen'!$C$82),"",IF(ISERROR(MATCH(VALUE(MID(I689,1,2)),Schwierigkeitsstufen!$G$7:$G$19,0)),"Gerät falsch",LOOKUP(VALUE(MID(I689,1,2)),Schwierigkeitsstufen!$G$7:$G$19,Schwierigkeitsstufen!$H$7:$H$19)))</f>
        <v/>
      </c>
      <c r="AD689" s="251" t="str">
        <f>IF((($A689="")*($B689=""))+((MID($Y689,1,4)&lt;&gt;"Wahl")*(Deckblatt!$C$14='WK-Vorlagen'!$C$82))+(Deckblatt!$C$14&lt;&gt;'WK-Vorlagen'!$C$82),"",IF(ISERROR(MATCH(VALUE(MID(J689,1,2)),Schwierigkeitsstufen!$G$7:$G$19,0)),"Gerät falsch",LOOKUP(VALUE(MID(J689,1,2)),Schwierigkeitsstufen!$G$7:$G$19,Schwierigkeitsstufen!$H$7:$H$19)))</f>
        <v/>
      </c>
      <c r="AE689" s="211"/>
      <c r="AG689" s="221" t="str">
        <f t="shared" si="90"/>
        <v/>
      </c>
      <c r="AH689" s="222" t="str">
        <f t="shared" si="92"/>
        <v/>
      </c>
      <c r="AI689" s="220">
        <f t="shared" si="97"/>
        <v>4</v>
      </c>
      <c r="AJ689" s="222">
        <f t="shared" si="93"/>
        <v>0</v>
      </c>
      <c r="AK689" s="299" t="str">
        <f>IF(ISERROR(LOOKUP(E689,WKNrListe,Übersicht!$R$7:$R$46)),"-",LOOKUP(E689,WKNrListe,Übersicht!$R$7:$R$46))</f>
        <v>-</v>
      </c>
      <c r="AL689" s="299" t="str">
        <f t="shared" si="96"/>
        <v>-</v>
      </c>
      <c r="AM689" s="303"/>
      <c r="AN689" s="174" t="str">
        <f t="shared" si="98"/>
        <v>Leer</v>
      </c>
    </row>
    <row r="690" spans="1:40" s="174" customFormat="1" ht="15" customHeight="1">
      <c r="A690" s="63"/>
      <c r="B690" s="63"/>
      <c r="C690" s="84"/>
      <c r="D690" s="85"/>
      <c r="E690" s="62"/>
      <c r="F690" s="62"/>
      <c r="G690" s="62"/>
      <c r="H690" s="62"/>
      <c r="I690" s="62"/>
      <c r="J690" s="62"/>
      <c r="K690" s="62"/>
      <c r="L690" s="62"/>
      <c r="M690" s="62"/>
      <c r="N690" s="62"/>
      <c r="O690" s="62"/>
      <c r="P690" s="62"/>
      <c r="Q690" s="62"/>
      <c r="R690" s="62"/>
      <c r="S690" s="258"/>
      <c r="T690" s="248" t="str">
        <f t="shared" si="94"/>
        <v/>
      </c>
      <c r="U690" s="249" t="str">
        <f t="shared" si="95"/>
        <v/>
      </c>
      <c r="V690" s="294" t="str">
        <f t="shared" si="91"/>
        <v/>
      </c>
      <c r="W690" s="294" t="str">
        <f>IF(((E690="")+(F690="")),"",IF(VLOOKUP(F690,Mannschaften!$A$1:$B$54,2,FALSE)&lt;&gt;E690,"Reiter Mannschaften füllen",""))</f>
        <v/>
      </c>
      <c r="X690" s="248" t="str">
        <f>IF(ISBLANK(C690),"",IF((U690&gt;(LOOKUP(E690,WKNrListe,Übersicht!$O$7:$O$46)))+(U690&lt;(LOOKUP(E690,WKNrListe,Übersicht!$P$7:$P$46))),"JG falsch",""))</f>
        <v/>
      </c>
      <c r="Y690" s="255" t="str">
        <f>IF((A690="")*(B690=""),"",IF(ISERROR(MATCH(E690,WKNrListe,0)),"WK falsch",LOOKUP(E690,WKNrListe,Übersicht!$B$7:$B$46)))</f>
        <v/>
      </c>
      <c r="Z690" s="269" t="str">
        <f>IF(((AJ690=0)*(AH690&lt;&gt;"")*(AK690="-"))+((AJ690&lt;&gt;0)*(AH690&lt;&gt;"")*(AK690="-")),IF(AG690="X",Übersicht!$C$70,Übersicht!$C$69),"-")</f>
        <v>-</v>
      </c>
      <c r="AA690" s="252" t="str">
        <f>IF((($A690="")*($B690=""))+((MID($Y690,1,4)&lt;&gt;"Wahl")*(Deckblatt!$C$14='WK-Vorlagen'!$C$82))+(Deckblatt!$C$14&lt;&gt;'WK-Vorlagen'!$C$82),"",IF(ISERROR(MATCH(VALUE(MID(G690,1,2)),Schwierigkeitsstufen!$G$7:$G$19,0)),"Gerät falsch",LOOKUP(VALUE(MID(G690,1,2)),Schwierigkeitsstufen!$G$7:$G$19,Schwierigkeitsstufen!$H$7:$H$19)))</f>
        <v/>
      </c>
      <c r="AB690" s="250" t="str">
        <f>IF((($A690="")*($B690=""))+((MID($Y690,1,4)&lt;&gt;"Wahl")*(Deckblatt!$C$14='WK-Vorlagen'!$C$82))+(Deckblatt!$C$14&lt;&gt;'WK-Vorlagen'!$C$82),"",IF(ISERROR(MATCH(VALUE(MID(H690,1,2)),Schwierigkeitsstufen!$G$7:$G$19,0)),"Gerät falsch",LOOKUP(VALUE(MID(H690,1,2)),Schwierigkeitsstufen!$G$7:$G$19,Schwierigkeitsstufen!$H$7:$H$19)))</f>
        <v/>
      </c>
      <c r="AC690" s="250" t="str">
        <f>IF((($A690="")*($B690=""))+((MID($Y690,1,4)&lt;&gt;"Wahl")*(Deckblatt!$C$14='WK-Vorlagen'!$C$82))+(Deckblatt!$C$14&lt;&gt;'WK-Vorlagen'!$C$82),"",IF(ISERROR(MATCH(VALUE(MID(I690,1,2)),Schwierigkeitsstufen!$G$7:$G$19,0)),"Gerät falsch",LOOKUP(VALUE(MID(I690,1,2)),Schwierigkeitsstufen!$G$7:$G$19,Schwierigkeitsstufen!$H$7:$H$19)))</f>
        <v/>
      </c>
      <c r="AD690" s="251" t="str">
        <f>IF((($A690="")*($B690=""))+((MID($Y690,1,4)&lt;&gt;"Wahl")*(Deckblatt!$C$14='WK-Vorlagen'!$C$82))+(Deckblatt!$C$14&lt;&gt;'WK-Vorlagen'!$C$82),"",IF(ISERROR(MATCH(VALUE(MID(J690,1,2)),Schwierigkeitsstufen!$G$7:$G$19,0)),"Gerät falsch",LOOKUP(VALUE(MID(J690,1,2)),Schwierigkeitsstufen!$G$7:$G$19,Schwierigkeitsstufen!$H$7:$H$19)))</f>
        <v/>
      </c>
      <c r="AE690" s="211"/>
      <c r="AG690" s="221" t="str">
        <f t="shared" si="90"/>
        <v/>
      </c>
      <c r="AH690" s="222" t="str">
        <f t="shared" si="92"/>
        <v/>
      </c>
      <c r="AI690" s="220">
        <f t="shared" si="97"/>
        <v>4</v>
      </c>
      <c r="AJ690" s="222">
        <f t="shared" si="93"/>
        <v>0</v>
      </c>
      <c r="AK690" s="299" t="str">
        <f>IF(ISERROR(LOOKUP(E690,WKNrListe,Übersicht!$R$7:$R$46)),"-",LOOKUP(E690,WKNrListe,Übersicht!$R$7:$R$46))</f>
        <v>-</v>
      </c>
      <c r="AL690" s="299" t="str">
        <f t="shared" si="96"/>
        <v>-</v>
      </c>
      <c r="AM690" s="303"/>
      <c r="AN690" s="174" t="str">
        <f t="shared" si="98"/>
        <v>Leer</v>
      </c>
    </row>
    <row r="691" spans="1:40" s="174" customFormat="1" ht="15" customHeight="1">
      <c r="A691" s="63"/>
      <c r="B691" s="63"/>
      <c r="C691" s="84"/>
      <c r="D691" s="85"/>
      <c r="E691" s="62"/>
      <c r="F691" s="62"/>
      <c r="G691" s="62"/>
      <c r="H691" s="62"/>
      <c r="I691" s="62"/>
      <c r="J691" s="62"/>
      <c r="K691" s="62"/>
      <c r="L691" s="62"/>
      <c r="M691" s="62"/>
      <c r="N691" s="62"/>
      <c r="O691" s="62"/>
      <c r="P691" s="62"/>
      <c r="Q691" s="62"/>
      <c r="R691" s="62"/>
      <c r="S691" s="258"/>
      <c r="T691" s="248" t="str">
        <f t="shared" si="94"/>
        <v/>
      </c>
      <c r="U691" s="249" t="str">
        <f t="shared" si="95"/>
        <v/>
      </c>
      <c r="V691" s="294" t="str">
        <f t="shared" si="91"/>
        <v/>
      </c>
      <c r="W691" s="294" t="str">
        <f>IF(((E691="")+(F691="")),"",IF(VLOOKUP(F691,Mannschaften!$A$1:$B$54,2,FALSE)&lt;&gt;E691,"Reiter Mannschaften füllen",""))</f>
        <v/>
      </c>
      <c r="X691" s="248" t="str">
        <f>IF(ISBLANK(C691),"",IF((U691&gt;(LOOKUP(E691,WKNrListe,Übersicht!$O$7:$O$46)))+(U691&lt;(LOOKUP(E691,WKNrListe,Übersicht!$P$7:$P$46))),"JG falsch",""))</f>
        <v/>
      </c>
      <c r="Y691" s="255" t="str">
        <f>IF((A691="")*(B691=""),"",IF(ISERROR(MATCH(E691,WKNrListe,0)),"WK falsch",LOOKUP(E691,WKNrListe,Übersicht!$B$7:$B$46)))</f>
        <v/>
      </c>
      <c r="Z691" s="269" t="str">
        <f>IF(((AJ691=0)*(AH691&lt;&gt;"")*(AK691="-"))+((AJ691&lt;&gt;0)*(AH691&lt;&gt;"")*(AK691="-")),IF(AG691="X",Übersicht!$C$70,Übersicht!$C$69),"-")</f>
        <v>-</v>
      </c>
      <c r="AA691" s="252" t="str">
        <f>IF((($A691="")*($B691=""))+((MID($Y691,1,4)&lt;&gt;"Wahl")*(Deckblatt!$C$14='WK-Vorlagen'!$C$82))+(Deckblatt!$C$14&lt;&gt;'WK-Vorlagen'!$C$82),"",IF(ISERROR(MATCH(VALUE(MID(G691,1,2)),Schwierigkeitsstufen!$G$7:$G$19,0)),"Gerät falsch",LOOKUP(VALUE(MID(G691,1,2)),Schwierigkeitsstufen!$G$7:$G$19,Schwierigkeitsstufen!$H$7:$H$19)))</f>
        <v/>
      </c>
      <c r="AB691" s="250" t="str">
        <f>IF((($A691="")*($B691=""))+((MID($Y691,1,4)&lt;&gt;"Wahl")*(Deckblatt!$C$14='WK-Vorlagen'!$C$82))+(Deckblatt!$C$14&lt;&gt;'WK-Vorlagen'!$C$82),"",IF(ISERROR(MATCH(VALUE(MID(H691,1,2)),Schwierigkeitsstufen!$G$7:$G$19,0)),"Gerät falsch",LOOKUP(VALUE(MID(H691,1,2)),Schwierigkeitsstufen!$G$7:$G$19,Schwierigkeitsstufen!$H$7:$H$19)))</f>
        <v/>
      </c>
      <c r="AC691" s="250" t="str">
        <f>IF((($A691="")*($B691=""))+((MID($Y691,1,4)&lt;&gt;"Wahl")*(Deckblatt!$C$14='WK-Vorlagen'!$C$82))+(Deckblatt!$C$14&lt;&gt;'WK-Vorlagen'!$C$82),"",IF(ISERROR(MATCH(VALUE(MID(I691,1,2)),Schwierigkeitsstufen!$G$7:$G$19,0)),"Gerät falsch",LOOKUP(VALUE(MID(I691,1,2)),Schwierigkeitsstufen!$G$7:$G$19,Schwierigkeitsstufen!$H$7:$H$19)))</f>
        <v/>
      </c>
      <c r="AD691" s="251" t="str">
        <f>IF((($A691="")*($B691=""))+((MID($Y691,1,4)&lt;&gt;"Wahl")*(Deckblatt!$C$14='WK-Vorlagen'!$C$82))+(Deckblatt!$C$14&lt;&gt;'WK-Vorlagen'!$C$82),"",IF(ISERROR(MATCH(VALUE(MID(J691,1,2)),Schwierigkeitsstufen!$G$7:$G$19,0)),"Gerät falsch",LOOKUP(VALUE(MID(J691,1,2)),Schwierigkeitsstufen!$G$7:$G$19,Schwierigkeitsstufen!$H$7:$H$19)))</f>
        <v/>
      </c>
      <c r="AE691" s="211"/>
      <c r="AG691" s="221" t="str">
        <f t="shared" si="90"/>
        <v/>
      </c>
      <c r="AH691" s="222" t="str">
        <f t="shared" si="92"/>
        <v/>
      </c>
      <c r="AI691" s="220">
        <f t="shared" si="97"/>
        <v>4</v>
      </c>
      <c r="AJ691" s="222">
        <f t="shared" si="93"/>
        <v>0</v>
      </c>
      <c r="AK691" s="299" t="str">
        <f>IF(ISERROR(LOOKUP(E691,WKNrListe,Übersicht!$R$7:$R$46)),"-",LOOKUP(E691,WKNrListe,Übersicht!$R$7:$R$46))</f>
        <v>-</v>
      </c>
      <c r="AL691" s="299" t="str">
        <f t="shared" si="96"/>
        <v>-</v>
      </c>
      <c r="AM691" s="303"/>
      <c r="AN691" s="174" t="str">
        <f t="shared" si="98"/>
        <v>Leer</v>
      </c>
    </row>
    <row r="692" spans="1:40" s="174" customFormat="1" ht="15" customHeight="1">
      <c r="A692" s="63"/>
      <c r="B692" s="63"/>
      <c r="C692" s="84"/>
      <c r="D692" s="85"/>
      <c r="E692" s="62"/>
      <c r="F692" s="62"/>
      <c r="G692" s="62"/>
      <c r="H692" s="62"/>
      <c r="I692" s="62"/>
      <c r="J692" s="62"/>
      <c r="K692" s="62"/>
      <c r="L692" s="62"/>
      <c r="M692" s="62"/>
      <c r="N692" s="62"/>
      <c r="O692" s="62"/>
      <c r="P692" s="62"/>
      <c r="Q692" s="62"/>
      <c r="R692" s="62"/>
      <c r="S692" s="258"/>
      <c r="T692" s="248" t="str">
        <f t="shared" si="94"/>
        <v/>
      </c>
      <c r="U692" s="249" t="str">
        <f t="shared" si="95"/>
        <v/>
      </c>
      <c r="V692" s="294" t="str">
        <f t="shared" si="91"/>
        <v/>
      </c>
      <c r="W692" s="294" t="str">
        <f>IF(((E692="")+(F692="")),"",IF(VLOOKUP(F692,Mannschaften!$A$1:$B$54,2,FALSE)&lt;&gt;E692,"Reiter Mannschaften füllen",""))</f>
        <v/>
      </c>
      <c r="X692" s="248" t="str">
        <f>IF(ISBLANK(C692),"",IF((U692&gt;(LOOKUP(E692,WKNrListe,Übersicht!$O$7:$O$46)))+(U692&lt;(LOOKUP(E692,WKNrListe,Übersicht!$P$7:$P$46))),"JG falsch",""))</f>
        <v/>
      </c>
      <c r="Y692" s="255" t="str">
        <f>IF((A692="")*(B692=""),"",IF(ISERROR(MATCH(E692,WKNrListe,0)),"WK falsch",LOOKUP(E692,WKNrListe,Übersicht!$B$7:$B$46)))</f>
        <v/>
      </c>
      <c r="Z692" s="269" t="str">
        <f>IF(((AJ692=0)*(AH692&lt;&gt;"")*(AK692="-"))+((AJ692&lt;&gt;0)*(AH692&lt;&gt;"")*(AK692="-")),IF(AG692="X",Übersicht!$C$70,Übersicht!$C$69),"-")</f>
        <v>-</v>
      </c>
      <c r="AA692" s="252" t="str">
        <f>IF((($A692="")*($B692=""))+((MID($Y692,1,4)&lt;&gt;"Wahl")*(Deckblatt!$C$14='WK-Vorlagen'!$C$82))+(Deckblatt!$C$14&lt;&gt;'WK-Vorlagen'!$C$82),"",IF(ISERROR(MATCH(VALUE(MID(G692,1,2)),Schwierigkeitsstufen!$G$7:$G$19,0)),"Gerät falsch",LOOKUP(VALUE(MID(G692,1,2)),Schwierigkeitsstufen!$G$7:$G$19,Schwierigkeitsstufen!$H$7:$H$19)))</f>
        <v/>
      </c>
      <c r="AB692" s="250" t="str">
        <f>IF((($A692="")*($B692=""))+((MID($Y692,1,4)&lt;&gt;"Wahl")*(Deckblatt!$C$14='WK-Vorlagen'!$C$82))+(Deckblatt!$C$14&lt;&gt;'WK-Vorlagen'!$C$82),"",IF(ISERROR(MATCH(VALUE(MID(H692,1,2)),Schwierigkeitsstufen!$G$7:$G$19,0)),"Gerät falsch",LOOKUP(VALUE(MID(H692,1,2)),Schwierigkeitsstufen!$G$7:$G$19,Schwierigkeitsstufen!$H$7:$H$19)))</f>
        <v/>
      </c>
      <c r="AC692" s="250" t="str">
        <f>IF((($A692="")*($B692=""))+((MID($Y692,1,4)&lt;&gt;"Wahl")*(Deckblatt!$C$14='WK-Vorlagen'!$C$82))+(Deckblatt!$C$14&lt;&gt;'WK-Vorlagen'!$C$82),"",IF(ISERROR(MATCH(VALUE(MID(I692,1,2)),Schwierigkeitsstufen!$G$7:$G$19,0)),"Gerät falsch",LOOKUP(VALUE(MID(I692,1,2)),Schwierigkeitsstufen!$G$7:$G$19,Schwierigkeitsstufen!$H$7:$H$19)))</f>
        <v/>
      </c>
      <c r="AD692" s="251" t="str">
        <f>IF((($A692="")*($B692=""))+((MID($Y692,1,4)&lt;&gt;"Wahl")*(Deckblatt!$C$14='WK-Vorlagen'!$C$82))+(Deckblatt!$C$14&lt;&gt;'WK-Vorlagen'!$C$82),"",IF(ISERROR(MATCH(VALUE(MID(J692,1,2)),Schwierigkeitsstufen!$G$7:$G$19,0)),"Gerät falsch",LOOKUP(VALUE(MID(J692,1,2)),Schwierigkeitsstufen!$G$7:$G$19,Schwierigkeitsstufen!$H$7:$H$19)))</f>
        <v/>
      </c>
      <c r="AE692" s="211"/>
      <c r="AG692" s="221" t="str">
        <f t="shared" si="90"/>
        <v/>
      </c>
      <c r="AH692" s="222" t="str">
        <f t="shared" si="92"/>
        <v/>
      </c>
      <c r="AI692" s="220">
        <f t="shared" si="97"/>
        <v>4</v>
      </c>
      <c r="AJ692" s="222">
        <f t="shared" si="93"/>
        <v>0</v>
      </c>
      <c r="AK692" s="299" t="str">
        <f>IF(ISERROR(LOOKUP(E692,WKNrListe,Übersicht!$R$7:$R$46)),"-",LOOKUP(E692,WKNrListe,Übersicht!$R$7:$R$46))</f>
        <v>-</v>
      </c>
      <c r="AL692" s="299" t="str">
        <f t="shared" si="96"/>
        <v>-</v>
      </c>
      <c r="AM692" s="303"/>
      <c r="AN692" s="174" t="str">
        <f t="shared" si="98"/>
        <v>Leer</v>
      </c>
    </row>
    <row r="693" spans="1:40" s="174" customFormat="1" ht="15" customHeight="1">
      <c r="A693" s="63"/>
      <c r="B693" s="63"/>
      <c r="C693" s="84"/>
      <c r="D693" s="85"/>
      <c r="E693" s="62"/>
      <c r="F693" s="62"/>
      <c r="G693" s="62"/>
      <c r="H693" s="62"/>
      <c r="I693" s="62"/>
      <c r="J693" s="62"/>
      <c r="K693" s="62"/>
      <c r="L693" s="62"/>
      <c r="M693" s="62"/>
      <c r="N693" s="62"/>
      <c r="O693" s="62"/>
      <c r="P693" s="62"/>
      <c r="Q693" s="62"/>
      <c r="R693" s="62"/>
      <c r="S693" s="258"/>
      <c r="T693" s="248" t="str">
        <f t="shared" si="94"/>
        <v/>
      </c>
      <c r="U693" s="249" t="str">
        <f t="shared" si="95"/>
        <v/>
      </c>
      <c r="V693" s="294" t="str">
        <f t="shared" si="91"/>
        <v/>
      </c>
      <c r="W693" s="294" t="str">
        <f>IF(((E693="")+(F693="")),"",IF(VLOOKUP(F693,Mannschaften!$A$1:$B$54,2,FALSE)&lt;&gt;E693,"Reiter Mannschaften füllen",""))</f>
        <v/>
      </c>
      <c r="X693" s="248" t="str">
        <f>IF(ISBLANK(C693),"",IF((U693&gt;(LOOKUP(E693,WKNrListe,Übersicht!$O$7:$O$46)))+(U693&lt;(LOOKUP(E693,WKNrListe,Übersicht!$P$7:$P$46))),"JG falsch",""))</f>
        <v/>
      </c>
      <c r="Y693" s="255" t="str">
        <f>IF((A693="")*(B693=""),"",IF(ISERROR(MATCH(E693,WKNrListe,0)),"WK falsch",LOOKUP(E693,WKNrListe,Übersicht!$B$7:$B$46)))</f>
        <v/>
      </c>
      <c r="Z693" s="269" t="str">
        <f>IF(((AJ693=0)*(AH693&lt;&gt;"")*(AK693="-"))+((AJ693&lt;&gt;0)*(AH693&lt;&gt;"")*(AK693="-")),IF(AG693="X",Übersicht!$C$70,Übersicht!$C$69),"-")</f>
        <v>-</v>
      </c>
      <c r="AA693" s="252" t="str">
        <f>IF((($A693="")*($B693=""))+((MID($Y693,1,4)&lt;&gt;"Wahl")*(Deckblatt!$C$14='WK-Vorlagen'!$C$82))+(Deckblatt!$C$14&lt;&gt;'WK-Vorlagen'!$C$82),"",IF(ISERROR(MATCH(VALUE(MID(G693,1,2)),Schwierigkeitsstufen!$G$7:$G$19,0)),"Gerät falsch",LOOKUP(VALUE(MID(G693,1,2)),Schwierigkeitsstufen!$G$7:$G$19,Schwierigkeitsstufen!$H$7:$H$19)))</f>
        <v/>
      </c>
      <c r="AB693" s="250" t="str">
        <f>IF((($A693="")*($B693=""))+((MID($Y693,1,4)&lt;&gt;"Wahl")*(Deckblatt!$C$14='WK-Vorlagen'!$C$82))+(Deckblatt!$C$14&lt;&gt;'WK-Vorlagen'!$C$82),"",IF(ISERROR(MATCH(VALUE(MID(H693,1,2)),Schwierigkeitsstufen!$G$7:$G$19,0)),"Gerät falsch",LOOKUP(VALUE(MID(H693,1,2)),Schwierigkeitsstufen!$G$7:$G$19,Schwierigkeitsstufen!$H$7:$H$19)))</f>
        <v/>
      </c>
      <c r="AC693" s="250" t="str">
        <f>IF((($A693="")*($B693=""))+((MID($Y693,1,4)&lt;&gt;"Wahl")*(Deckblatt!$C$14='WK-Vorlagen'!$C$82))+(Deckblatt!$C$14&lt;&gt;'WK-Vorlagen'!$C$82),"",IF(ISERROR(MATCH(VALUE(MID(I693,1,2)),Schwierigkeitsstufen!$G$7:$G$19,0)),"Gerät falsch",LOOKUP(VALUE(MID(I693,1,2)),Schwierigkeitsstufen!$G$7:$G$19,Schwierigkeitsstufen!$H$7:$H$19)))</f>
        <v/>
      </c>
      <c r="AD693" s="251" t="str">
        <f>IF((($A693="")*($B693=""))+((MID($Y693,1,4)&lt;&gt;"Wahl")*(Deckblatt!$C$14='WK-Vorlagen'!$C$82))+(Deckblatt!$C$14&lt;&gt;'WK-Vorlagen'!$C$82),"",IF(ISERROR(MATCH(VALUE(MID(J693,1,2)),Schwierigkeitsstufen!$G$7:$G$19,0)),"Gerät falsch",LOOKUP(VALUE(MID(J693,1,2)),Schwierigkeitsstufen!$G$7:$G$19,Schwierigkeitsstufen!$H$7:$H$19)))</f>
        <v/>
      </c>
      <c r="AE693" s="211"/>
      <c r="AG693" s="221" t="str">
        <f t="shared" si="90"/>
        <v/>
      </c>
      <c r="AH693" s="222" t="str">
        <f t="shared" si="92"/>
        <v/>
      </c>
      <c r="AI693" s="220">
        <f t="shared" si="97"/>
        <v>4</v>
      </c>
      <c r="AJ693" s="222">
        <f t="shared" si="93"/>
        <v>0</v>
      </c>
      <c r="AK693" s="299" t="str">
        <f>IF(ISERROR(LOOKUP(E693,WKNrListe,Übersicht!$R$7:$R$46)),"-",LOOKUP(E693,WKNrListe,Übersicht!$R$7:$R$46))</f>
        <v>-</v>
      </c>
      <c r="AL693" s="299" t="str">
        <f t="shared" si="96"/>
        <v>-</v>
      </c>
      <c r="AM693" s="303"/>
      <c r="AN693" s="174" t="str">
        <f t="shared" si="98"/>
        <v>Leer</v>
      </c>
    </row>
    <row r="694" spans="1:40" s="174" customFormat="1" ht="15" customHeight="1">
      <c r="A694" s="63"/>
      <c r="B694" s="63"/>
      <c r="C694" s="84"/>
      <c r="D694" s="85"/>
      <c r="E694" s="62"/>
      <c r="F694" s="62"/>
      <c r="G694" s="62"/>
      <c r="H694" s="62"/>
      <c r="I694" s="62"/>
      <c r="J694" s="62"/>
      <c r="K694" s="62"/>
      <c r="L694" s="62"/>
      <c r="M694" s="62"/>
      <c r="N694" s="62"/>
      <c r="O694" s="62"/>
      <c r="P694" s="62"/>
      <c r="Q694" s="62"/>
      <c r="R694" s="62"/>
      <c r="S694" s="258"/>
      <c r="T694" s="248" t="str">
        <f t="shared" si="94"/>
        <v/>
      </c>
      <c r="U694" s="249" t="str">
        <f t="shared" si="95"/>
        <v/>
      </c>
      <c r="V694" s="294" t="str">
        <f t="shared" si="91"/>
        <v/>
      </c>
      <c r="W694" s="294" t="str">
        <f>IF(((E694="")+(F694="")),"",IF(VLOOKUP(F694,Mannschaften!$A$1:$B$54,2,FALSE)&lt;&gt;E694,"Reiter Mannschaften füllen",""))</f>
        <v/>
      </c>
      <c r="X694" s="248" t="str">
        <f>IF(ISBLANK(C694),"",IF((U694&gt;(LOOKUP(E694,WKNrListe,Übersicht!$O$7:$O$46)))+(U694&lt;(LOOKUP(E694,WKNrListe,Übersicht!$P$7:$P$46))),"JG falsch",""))</f>
        <v/>
      </c>
      <c r="Y694" s="255" t="str">
        <f>IF((A694="")*(B694=""),"",IF(ISERROR(MATCH(E694,WKNrListe,0)),"WK falsch",LOOKUP(E694,WKNrListe,Übersicht!$B$7:$B$46)))</f>
        <v/>
      </c>
      <c r="Z694" s="269" t="str">
        <f>IF(((AJ694=0)*(AH694&lt;&gt;"")*(AK694="-"))+((AJ694&lt;&gt;0)*(AH694&lt;&gt;"")*(AK694="-")),IF(AG694="X",Übersicht!$C$70,Übersicht!$C$69),"-")</f>
        <v>-</v>
      </c>
      <c r="AA694" s="252" t="str">
        <f>IF((($A694="")*($B694=""))+((MID($Y694,1,4)&lt;&gt;"Wahl")*(Deckblatt!$C$14='WK-Vorlagen'!$C$82))+(Deckblatt!$C$14&lt;&gt;'WK-Vorlagen'!$C$82),"",IF(ISERROR(MATCH(VALUE(MID(G694,1,2)),Schwierigkeitsstufen!$G$7:$G$19,0)),"Gerät falsch",LOOKUP(VALUE(MID(G694,1,2)),Schwierigkeitsstufen!$G$7:$G$19,Schwierigkeitsstufen!$H$7:$H$19)))</f>
        <v/>
      </c>
      <c r="AB694" s="250" t="str">
        <f>IF((($A694="")*($B694=""))+((MID($Y694,1,4)&lt;&gt;"Wahl")*(Deckblatt!$C$14='WK-Vorlagen'!$C$82))+(Deckblatt!$C$14&lt;&gt;'WK-Vorlagen'!$C$82),"",IF(ISERROR(MATCH(VALUE(MID(H694,1,2)),Schwierigkeitsstufen!$G$7:$G$19,0)),"Gerät falsch",LOOKUP(VALUE(MID(H694,1,2)),Schwierigkeitsstufen!$G$7:$G$19,Schwierigkeitsstufen!$H$7:$H$19)))</f>
        <v/>
      </c>
      <c r="AC694" s="250" t="str">
        <f>IF((($A694="")*($B694=""))+((MID($Y694,1,4)&lt;&gt;"Wahl")*(Deckblatt!$C$14='WK-Vorlagen'!$C$82))+(Deckblatt!$C$14&lt;&gt;'WK-Vorlagen'!$C$82),"",IF(ISERROR(MATCH(VALUE(MID(I694,1,2)),Schwierigkeitsstufen!$G$7:$G$19,0)),"Gerät falsch",LOOKUP(VALUE(MID(I694,1,2)),Schwierigkeitsstufen!$G$7:$G$19,Schwierigkeitsstufen!$H$7:$H$19)))</f>
        <v/>
      </c>
      <c r="AD694" s="251" t="str">
        <f>IF((($A694="")*($B694=""))+((MID($Y694,1,4)&lt;&gt;"Wahl")*(Deckblatt!$C$14='WK-Vorlagen'!$C$82))+(Deckblatt!$C$14&lt;&gt;'WK-Vorlagen'!$C$82),"",IF(ISERROR(MATCH(VALUE(MID(J694,1,2)),Schwierigkeitsstufen!$G$7:$G$19,0)),"Gerät falsch",LOOKUP(VALUE(MID(J694,1,2)),Schwierigkeitsstufen!$G$7:$G$19,Schwierigkeitsstufen!$H$7:$H$19)))</f>
        <v/>
      </c>
      <c r="AE694" s="211"/>
      <c r="AG694" s="221" t="str">
        <f t="shared" si="90"/>
        <v/>
      </c>
      <c r="AH694" s="222" t="str">
        <f t="shared" si="92"/>
        <v/>
      </c>
      <c r="AI694" s="220">
        <f t="shared" si="97"/>
        <v>4</v>
      </c>
      <c r="AJ694" s="222">
        <f t="shared" si="93"/>
        <v>0</v>
      </c>
      <c r="AK694" s="299" t="str">
        <f>IF(ISERROR(LOOKUP(E694,WKNrListe,Übersicht!$R$7:$R$46)),"-",LOOKUP(E694,WKNrListe,Übersicht!$R$7:$R$46))</f>
        <v>-</v>
      </c>
      <c r="AL694" s="299" t="str">
        <f t="shared" si="96"/>
        <v>-</v>
      </c>
      <c r="AM694" s="303"/>
      <c r="AN694" s="174" t="str">
        <f t="shared" si="98"/>
        <v>Leer</v>
      </c>
    </row>
    <row r="695" spans="1:40" s="174" customFormat="1" ht="15" customHeight="1">
      <c r="A695" s="63"/>
      <c r="B695" s="63"/>
      <c r="C695" s="84"/>
      <c r="D695" s="85"/>
      <c r="E695" s="62"/>
      <c r="F695" s="62"/>
      <c r="G695" s="62"/>
      <c r="H695" s="62"/>
      <c r="I695" s="62"/>
      <c r="J695" s="62"/>
      <c r="K695" s="62"/>
      <c r="L695" s="62"/>
      <c r="M695" s="62"/>
      <c r="N695" s="62"/>
      <c r="O695" s="62"/>
      <c r="P695" s="62"/>
      <c r="Q695" s="62"/>
      <c r="R695" s="62"/>
      <c r="S695" s="258"/>
      <c r="T695" s="248" t="str">
        <f t="shared" si="94"/>
        <v/>
      </c>
      <c r="U695" s="249" t="str">
        <f t="shared" si="95"/>
        <v/>
      </c>
      <c r="V695" s="294" t="str">
        <f t="shared" si="91"/>
        <v/>
      </c>
      <c r="W695" s="294" t="str">
        <f>IF(((E695="")+(F695="")),"",IF(VLOOKUP(F695,Mannschaften!$A$1:$B$54,2,FALSE)&lt;&gt;E695,"Reiter Mannschaften füllen",""))</f>
        <v/>
      </c>
      <c r="X695" s="248" t="str">
        <f>IF(ISBLANK(C695),"",IF((U695&gt;(LOOKUP(E695,WKNrListe,Übersicht!$O$7:$O$46)))+(U695&lt;(LOOKUP(E695,WKNrListe,Übersicht!$P$7:$P$46))),"JG falsch",""))</f>
        <v/>
      </c>
      <c r="Y695" s="255" t="str">
        <f>IF((A695="")*(B695=""),"",IF(ISERROR(MATCH(E695,WKNrListe,0)),"WK falsch",LOOKUP(E695,WKNrListe,Übersicht!$B$7:$B$46)))</f>
        <v/>
      </c>
      <c r="Z695" s="269" t="str">
        <f>IF(((AJ695=0)*(AH695&lt;&gt;"")*(AK695="-"))+((AJ695&lt;&gt;0)*(AH695&lt;&gt;"")*(AK695="-")),IF(AG695="X",Übersicht!$C$70,Übersicht!$C$69),"-")</f>
        <v>-</v>
      </c>
      <c r="AA695" s="252" t="str">
        <f>IF((($A695="")*($B695=""))+((MID($Y695,1,4)&lt;&gt;"Wahl")*(Deckblatt!$C$14='WK-Vorlagen'!$C$82))+(Deckblatt!$C$14&lt;&gt;'WK-Vorlagen'!$C$82),"",IF(ISERROR(MATCH(VALUE(MID(G695,1,2)),Schwierigkeitsstufen!$G$7:$G$19,0)),"Gerät falsch",LOOKUP(VALUE(MID(G695,1,2)),Schwierigkeitsstufen!$G$7:$G$19,Schwierigkeitsstufen!$H$7:$H$19)))</f>
        <v/>
      </c>
      <c r="AB695" s="250" t="str">
        <f>IF((($A695="")*($B695=""))+((MID($Y695,1,4)&lt;&gt;"Wahl")*(Deckblatt!$C$14='WK-Vorlagen'!$C$82))+(Deckblatt!$C$14&lt;&gt;'WK-Vorlagen'!$C$82),"",IF(ISERROR(MATCH(VALUE(MID(H695,1,2)),Schwierigkeitsstufen!$G$7:$G$19,0)),"Gerät falsch",LOOKUP(VALUE(MID(H695,1,2)),Schwierigkeitsstufen!$G$7:$G$19,Schwierigkeitsstufen!$H$7:$H$19)))</f>
        <v/>
      </c>
      <c r="AC695" s="250" t="str">
        <f>IF((($A695="")*($B695=""))+((MID($Y695,1,4)&lt;&gt;"Wahl")*(Deckblatt!$C$14='WK-Vorlagen'!$C$82))+(Deckblatt!$C$14&lt;&gt;'WK-Vorlagen'!$C$82),"",IF(ISERROR(MATCH(VALUE(MID(I695,1,2)),Schwierigkeitsstufen!$G$7:$G$19,0)),"Gerät falsch",LOOKUP(VALUE(MID(I695,1,2)),Schwierigkeitsstufen!$G$7:$G$19,Schwierigkeitsstufen!$H$7:$H$19)))</f>
        <v/>
      </c>
      <c r="AD695" s="251" t="str">
        <f>IF((($A695="")*($B695=""))+((MID($Y695,1,4)&lt;&gt;"Wahl")*(Deckblatt!$C$14='WK-Vorlagen'!$C$82))+(Deckblatt!$C$14&lt;&gt;'WK-Vorlagen'!$C$82),"",IF(ISERROR(MATCH(VALUE(MID(J695,1,2)),Schwierigkeitsstufen!$G$7:$G$19,0)),"Gerät falsch",LOOKUP(VALUE(MID(J695,1,2)),Schwierigkeitsstufen!$G$7:$G$19,Schwierigkeitsstufen!$H$7:$H$19)))</f>
        <v/>
      </c>
      <c r="AE695" s="211"/>
      <c r="AG695" s="221" t="str">
        <f t="shared" si="90"/>
        <v/>
      </c>
      <c r="AH695" s="222" t="str">
        <f t="shared" si="92"/>
        <v/>
      </c>
      <c r="AI695" s="220">
        <f t="shared" si="97"/>
        <v>4</v>
      </c>
      <c r="AJ695" s="222">
        <f t="shared" si="93"/>
        <v>0</v>
      </c>
      <c r="AK695" s="299" t="str">
        <f>IF(ISERROR(LOOKUP(E695,WKNrListe,Übersicht!$R$7:$R$46)),"-",LOOKUP(E695,WKNrListe,Übersicht!$R$7:$R$46))</f>
        <v>-</v>
      </c>
      <c r="AL695" s="299" t="str">
        <f t="shared" si="96"/>
        <v>-</v>
      </c>
      <c r="AM695" s="303"/>
      <c r="AN695" s="174" t="str">
        <f t="shared" si="98"/>
        <v>Leer</v>
      </c>
    </row>
    <row r="696" spans="1:40" s="174" customFormat="1" ht="15" customHeight="1">
      <c r="A696" s="63"/>
      <c r="B696" s="63"/>
      <c r="C696" s="84"/>
      <c r="D696" s="85"/>
      <c r="E696" s="62"/>
      <c r="F696" s="62"/>
      <c r="G696" s="62"/>
      <c r="H696" s="62"/>
      <c r="I696" s="62"/>
      <c r="J696" s="62"/>
      <c r="K696" s="62"/>
      <c r="L696" s="62"/>
      <c r="M696" s="62"/>
      <c r="N696" s="62"/>
      <c r="O696" s="62"/>
      <c r="P696" s="62"/>
      <c r="Q696" s="62"/>
      <c r="R696" s="62"/>
      <c r="S696" s="258"/>
      <c r="T696" s="248" t="str">
        <f t="shared" si="94"/>
        <v/>
      </c>
      <c r="U696" s="249" t="str">
        <f t="shared" si="95"/>
        <v/>
      </c>
      <c r="V696" s="294" t="str">
        <f t="shared" si="91"/>
        <v/>
      </c>
      <c r="W696" s="294" t="str">
        <f>IF(((E696="")+(F696="")),"",IF(VLOOKUP(F696,Mannschaften!$A$1:$B$54,2,FALSE)&lt;&gt;E696,"Reiter Mannschaften füllen",""))</f>
        <v/>
      </c>
      <c r="X696" s="248" t="str">
        <f>IF(ISBLANK(C696),"",IF((U696&gt;(LOOKUP(E696,WKNrListe,Übersicht!$O$7:$O$46)))+(U696&lt;(LOOKUP(E696,WKNrListe,Übersicht!$P$7:$P$46))),"JG falsch",""))</f>
        <v/>
      </c>
      <c r="Y696" s="255" t="str">
        <f>IF((A696="")*(B696=""),"",IF(ISERROR(MATCH(E696,WKNrListe,0)),"WK falsch",LOOKUP(E696,WKNrListe,Übersicht!$B$7:$B$46)))</f>
        <v/>
      </c>
      <c r="Z696" s="269" t="str">
        <f>IF(((AJ696=0)*(AH696&lt;&gt;"")*(AK696="-"))+((AJ696&lt;&gt;0)*(AH696&lt;&gt;"")*(AK696="-")),IF(AG696="X",Übersicht!$C$70,Übersicht!$C$69),"-")</f>
        <v>-</v>
      </c>
      <c r="AA696" s="252" t="str">
        <f>IF((($A696="")*($B696=""))+((MID($Y696,1,4)&lt;&gt;"Wahl")*(Deckblatt!$C$14='WK-Vorlagen'!$C$82))+(Deckblatt!$C$14&lt;&gt;'WK-Vorlagen'!$C$82),"",IF(ISERROR(MATCH(VALUE(MID(G696,1,2)),Schwierigkeitsstufen!$G$7:$G$19,0)),"Gerät falsch",LOOKUP(VALUE(MID(G696,1,2)),Schwierigkeitsstufen!$G$7:$G$19,Schwierigkeitsstufen!$H$7:$H$19)))</f>
        <v/>
      </c>
      <c r="AB696" s="250" t="str">
        <f>IF((($A696="")*($B696=""))+((MID($Y696,1,4)&lt;&gt;"Wahl")*(Deckblatt!$C$14='WK-Vorlagen'!$C$82))+(Deckblatt!$C$14&lt;&gt;'WK-Vorlagen'!$C$82),"",IF(ISERROR(MATCH(VALUE(MID(H696,1,2)),Schwierigkeitsstufen!$G$7:$G$19,0)),"Gerät falsch",LOOKUP(VALUE(MID(H696,1,2)),Schwierigkeitsstufen!$G$7:$G$19,Schwierigkeitsstufen!$H$7:$H$19)))</f>
        <v/>
      </c>
      <c r="AC696" s="250" t="str">
        <f>IF((($A696="")*($B696=""))+((MID($Y696,1,4)&lt;&gt;"Wahl")*(Deckblatt!$C$14='WK-Vorlagen'!$C$82))+(Deckblatt!$C$14&lt;&gt;'WK-Vorlagen'!$C$82),"",IF(ISERROR(MATCH(VALUE(MID(I696,1,2)),Schwierigkeitsstufen!$G$7:$G$19,0)),"Gerät falsch",LOOKUP(VALUE(MID(I696,1,2)),Schwierigkeitsstufen!$G$7:$G$19,Schwierigkeitsstufen!$H$7:$H$19)))</f>
        <v/>
      </c>
      <c r="AD696" s="251" t="str">
        <f>IF((($A696="")*($B696=""))+((MID($Y696,1,4)&lt;&gt;"Wahl")*(Deckblatt!$C$14='WK-Vorlagen'!$C$82))+(Deckblatt!$C$14&lt;&gt;'WK-Vorlagen'!$C$82),"",IF(ISERROR(MATCH(VALUE(MID(J696,1,2)),Schwierigkeitsstufen!$G$7:$G$19,0)),"Gerät falsch",LOOKUP(VALUE(MID(J696,1,2)),Schwierigkeitsstufen!$G$7:$G$19,Schwierigkeitsstufen!$H$7:$H$19)))</f>
        <v/>
      </c>
      <c r="AE696" s="211"/>
      <c r="AG696" s="221" t="str">
        <f t="shared" si="90"/>
        <v/>
      </c>
      <c r="AH696" s="222" t="str">
        <f t="shared" si="92"/>
        <v/>
      </c>
      <c r="AI696" s="220">
        <f t="shared" si="97"/>
        <v>4</v>
      </c>
      <c r="AJ696" s="222">
        <f t="shared" si="93"/>
        <v>0</v>
      </c>
      <c r="AK696" s="299" t="str">
        <f>IF(ISERROR(LOOKUP(E696,WKNrListe,Übersicht!$R$7:$R$46)),"-",LOOKUP(E696,WKNrListe,Übersicht!$R$7:$R$46))</f>
        <v>-</v>
      </c>
      <c r="AL696" s="299" t="str">
        <f t="shared" si="96"/>
        <v>-</v>
      </c>
      <c r="AM696" s="303"/>
      <c r="AN696" s="174" t="str">
        <f t="shared" si="98"/>
        <v>Leer</v>
      </c>
    </row>
    <row r="697" spans="1:40" s="174" customFormat="1" ht="15" customHeight="1">
      <c r="A697" s="63"/>
      <c r="B697" s="63"/>
      <c r="C697" s="84"/>
      <c r="D697" s="85"/>
      <c r="E697" s="62"/>
      <c r="F697" s="62"/>
      <c r="G697" s="62"/>
      <c r="H697" s="62"/>
      <c r="I697" s="62"/>
      <c r="J697" s="62"/>
      <c r="K697" s="62"/>
      <c r="L697" s="62"/>
      <c r="M697" s="62"/>
      <c r="N697" s="62"/>
      <c r="O697" s="62"/>
      <c r="P697" s="62"/>
      <c r="Q697" s="62"/>
      <c r="R697" s="62"/>
      <c r="S697" s="258"/>
      <c r="T697" s="248" t="str">
        <f t="shared" si="94"/>
        <v/>
      </c>
      <c r="U697" s="249" t="str">
        <f t="shared" si="95"/>
        <v/>
      </c>
      <c r="V697" s="294" t="str">
        <f t="shared" si="91"/>
        <v/>
      </c>
      <c r="W697" s="294" t="str">
        <f>IF(((E697="")+(F697="")),"",IF(VLOOKUP(F697,Mannschaften!$A$1:$B$54,2,FALSE)&lt;&gt;E697,"Reiter Mannschaften füllen",""))</f>
        <v/>
      </c>
      <c r="X697" s="248" t="str">
        <f>IF(ISBLANK(C697),"",IF((U697&gt;(LOOKUP(E697,WKNrListe,Übersicht!$O$7:$O$46)))+(U697&lt;(LOOKUP(E697,WKNrListe,Übersicht!$P$7:$P$46))),"JG falsch",""))</f>
        <v/>
      </c>
      <c r="Y697" s="255" t="str">
        <f>IF((A697="")*(B697=""),"",IF(ISERROR(MATCH(E697,WKNrListe,0)),"WK falsch",LOOKUP(E697,WKNrListe,Übersicht!$B$7:$B$46)))</f>
        <v/>
      </c>
      <c r="Z697" s="269" t="str">
        <f>IF(((AJ697=0)*(AH697&lt;&gt;"")*(AK697="-"))+((AJ697&lt;&gt;0)*(AH697&lt;&gt;"")*(AK697="-")),IF(AG697="X",Übersicht!$C$70,Übersicht!$C$69),"-")</f>
        <v>-</v>
      </c>
      <c r="AA697" s="252" t="str">
        <f>IF((($A697="")*($B697=""))+((MID($Y697,1,4)&lt;&gt;"Wahl")*(Deckblatt!$C$14='WK-Vorlagen'!$C$82))+(Deckblatt!$C$14&lt;&gt;'WK-Vorlagen'!$C$82),"",IF(ISERROR(MATCH(VALUE(MID(G697,1,2)),Schwierigkeitsstufen!$G$7:$G$19,0)),"Gerät falsch",LOOKUP(VALUE(MID(G697,1,2)),Schwierigkeitsstufen!$G$7:$G$19,Schwierigkeitsstufen!$H$7:$H$19)))</f>
        <v/>
      </c>
      <c r="AB697" s="250" t="str">
        <f>IF((($A697="")*($B697=""))+((MID($Y697,1,4)&lt;&gt;"Wahl")*(Deckblatt!$C$14='WK-Vorlagen'!$C$82))+(Deckblatt!$C$14&lt;&gt;'WK-Vorlagen'!$C$82),"",IF(ISERROR(MATCH(VALUE(MID(H697,1,2)),Schwierigkeitsstufen!$G$7:$G$19,0)),"Gerät falsch",LOOKUP(VALUE(MID(H697,1,2)),Schwierigkeitsstufen!$G$7:$G$19,Schwierigkeitsstufen!$H$7:$H$19)))</f>
        <v/>
      </c>
      <c r="AC697" s="250" t="str">
        <f>IF((($A697="")*($B697=""))+((MID($Y697,1,4)&lt;&gt;"Wahl")*(Deckblatt!$C$14='WK-Vorlagen'!$C$82))+(Deckblatt!$C$14&lt;&gt;'WK-Vorlagen'!$C$82),"",IF(ISERROR(MATCH(VALUE(MID(I697,1,2)),Schwierigkeitsstufen!$G$7:$G$19,0)),"Gerät falsch",LOOKUP(VALUE(MID(I697,1,2)),Schwierigkeitsstufen!$G$7:$G$19,Schwierigkeitsstufen!$H$7:$H$19)))</f>
        <v/>
      </c>
      <c r="AD697" s="251" t="str">
        <f>IF((($A697="")*($B697=""))+((MID($Y697,1,4)&lt;&gt;"Wahl")*(Deckblatt!$C$14='WK-Vorlagen'!$C$82))+(Deckblatt!$C$14&lt;&gt;'WK-Vorlagen'!$C$82),"",IF(ISERROR(MATCH(VALUE(MID(J697,1,2)),Schwierigkeitsstufen!$G$7:$G$19,0)),"Gerät falsch",LOOKUP(VALUE(MID(J697,1,2)),Schwierigkeitsstufen!$G$7:$G$19,Schwierigkeitsstufen!$H$7:$H$19)))</f>
        <v/>
      </c>
      <c r="AE697" s="211"/>
      <c r="AG697" s="221" t="str">
        <f t="shared" si="90"/>
        <v/>
      </c>
      <c r="AH697" s="222" t="str">
        <f t="shared" si="92"/>
        <v/>
      </c>
      <c r="AI697" s="220">
        <f t="shared" si="97"/>
        <v>4</v>
      </c>
      <c r="AJ697" s="222">
        <f t="shared" si="93"/>
        <v>0</v>
      </c>
      <c r="AK697" s="299" t="str">
        <f>IF(ISERROR(LOOKUP(E697,WKNrListe,Übersicht!$R$7:$R$46)),"-",LOOKUP(E697,WKNrListe,Übersicht!$R$7:$R$46))</f>
        <v>-</v>
      </c>
      <c r="AL697" s="299" t="str">
        <f t="shared" si="96"/>
        <v>-</v>
      </c>
      <c r="AM697" s="303"/>
      <c r="AN697" s="174" t="str">
        <f t="shared" si="98"/>
        <v>Leer</v>
      </c>
    </row>
    <row r="698" spans="1:40" s="174" customFormat="1" ht="15" customHeight="1">
      <c r="A698" s="63"/>
      <c r="B698" s="63"/>
      <c r="C698" s="84"/>
      <c r="D698" s="85"/>
      <c r="E698" s="62"/>
      <c r="F698" s="62"/>
      <c r="G698" s="62"/>
      <c r="H698" s="62"/>
      <c r="I698" s="62"/>
      <c r="J698" s="62"/>
      <c r="K698" s="62"/>
      <c r="L698" s="62"/>
      <c r="M698" s="62"/>
      <c r="N698" s="62"/>
      <c r="O698" s="62"/>
      <c r="P698" s="62"/>
      <c r="Q698" s="62"/>
      <c r="R698" s="62"/>
      <c r="S698" s="258"/>
      <c r="T698" s="248" t="str">
        <f t="shared" si="94"/>
        <v/>
      </c>
      <c r="U698" s="249" t="str">
        <f t="shared" si="95"/>
        <v/>
      </c>
      <c r="V698" s="294" t="str">
        <f t="shared" si="91"/>
        <v/>
      </c>
      <c r="W698" s="294" t="str">
        <f>IF(((E698="")+(F698="")),"",IF(VLOOKUP(F698,Mannschaften!$A$1:$B$54,2,FALSE)&lt;&gt;E698,"Reiter Mannschaften füllen",""))</f>
        <v/>
      </c>
      <c r="X698" s="248" t="str">
        <f>IF(ISBLANK(C698),"",IF((U698&gt;(LOOKUP(E698,WKNrListe,Übersicht!$O$7:$O$46)))+(U698&lt;(LOOKUP(E698,WKNrListe,Übersicht!$P$7:$P$46))),"JG falsch",""))</f>
        <v/>
      </c>
      <c r="Y698" s="255" t="str">
        <f>IF((A698="")*(B698=""),"",IF(ISERROR(MATCH(E698,WKNrListe,0)),"WK falsch",LOOKUP(E698,WKNrListe,Übersicht!$B$7:$B$46)))</f>
        <v/>
      </c>
      <c r="Z698" s="269" t="str">
        <f>IF(((AJ698=0)*(AH698&lt;&gt;"")*(AK698="-"))+((AJ698&lt;&gt;0)*(AH698&lt;&gt;"")*(AK698="-")),IF(AG698="X",Übersicht!$C$70,Übersicht!$C$69),"-")</f>
        <v>-</v>
      </c>
      <c r="AA698" s="252" t="str">
        <f>IF((($A698="")*($B698=""))+((MID($Y698,1,4)&lt;&gt;"Wahl")*(Deckblatt!$C$14='WK-Vorlagen'!$C$82))+(Deckblatt!$C$14&lt;&gt;'WK-Vorlagen'!$C$82),"",IF(ISERROR(MATCH(VALUE(MID(G698,1,2)),Schwierigkeitsstufen!$G$7:$G$19,0)),"Gerät falsch",LOOKUP(VALUE(MID(G698,1,2)),Schwierigkeitsstufen!$G$7:$G$19,Schwierigkeitsstufen!$H$7:$H$19)))</f>
        <v/>
      </c>
      <c r="AB698" s="250" t="str">
        <f>IF((($A698="")*($B698=""))+((MID($Y698,1,4)&lt;&gt;"Wahl")*(Deckblatt!$C$14='WK-Vorlagen'!$C$82))+(Deckblatt!$C$14&lt;&gt;'WK-Vorlagen'!$C$82),"",IF(ISERROR(MATCH(VALUE(MID(H698,1,2)),Schwierigkeitsstufen!$G$7:$G$19,0)),"Gerät falsch",LOOKUP(VALUE(MID(H698,1,2)),Schwierigkeitsstufen!$G$7:$G$19,Schwierigkeitsstufen!$H$7:$H$19)))</f>
        <v/>
      </c>
      <c r="AC698" s="250" t="str">
        <f>IF((($A698="")*($B698=""))+((MID($Y698,1,4)&lt;&gt;"Wahl")*(Deckblatt!$C$14='WK-Vorlagen'!$C$82))+(Deckblatt!$C$14&lt;&gt;'WK-Vorlagen'!$C$82),"",IF(ISERROR(MATCH(VALUE(MID(I698,1,2)),Schwierigkeitsstufen!$G$7:$G$19,0)),"Gerät falsch",LOOKUP(VALUE(MID(I698,1,2)),Schwierigkeitsstufen!$G$7:$G$19,Schwierigkeitsstufen!$H$7:$H$19)))</f>
        <v/>
      </c>
      <c r="AD698" s="251" t="str">
        <f>IF((($A698="")*($B698=""))+((MID($Y698,1,4)&lt;&gt;"Wahl")*(Deckblatt!$C$14='WK-Vorlagen'!$C$82))+(Deckblatt!$C$14&lt;&gt;'WK-Vorlagen'!$C$82),"",IF(ISERROR(MATCH(VALUE(MID(J698,1,2)),Schwierigkeitsstufen!$G$7:$G$19,0)),"Gerät falsch",LOOKUP(VALUE(MID(J698,1,2)),Schwierigkeitsstufen!$G$7:$G$19,Schwierigkeitsstufen!$H$7:$H$19)))</f>
        <v/>
      </c>
      <c r="AE698" s="211"/>
      <c r="AG698" s="221" t="str">
        <f t="shared" si="90"/>
        <v/>
      </c>
      <c r="AH698" s="222" t="str">
        <f t="shared" si="92"/>
        <v/>
      </c>
      <c r="AI698" s="220">
        <f t="shared" si="97"/>
        <v>4</v>
      </c>
      <c r="AJ698" s="222">
        <f t="shared" si="93"/>
        <v>0</v>
      </c>
      <c r="AK698" s="299" t="str">
        <f>IF(ISERROR(LOOKUP(E698,WKNrListe,Übersicht!$R$7:$R$46)),"-",LOOKUP(E698,WKNrListe,Übersicht!$R$7:$R$46))</f>
        <v>-</v>
      </c>
      <c r="AL698" s="299" t="str">
        <f t="shared" si="96"/>
        <v>-</v>
      </c>
      <c r="AM698" s="303"/>
      <c r="AN698" s="174" t="str">
        <f t="shared" si="98"/>
        <v>Leer</v>
      </c>
    </row>
    <row r="699" spans="1:40" s="174" customFormat="1" ht="15" customHeight="1">
      <c r="A699" s="63"/>
      <c r="B699" s="63"/>
      <c r="C699" s="84"/>
      <c r="D699" s="85"/>
      <c r="E699" s="62"/>
      <c r="F699" s="62"/>
      <c r="G699" s="62"/>
      <c r="H699" s="62"/>
      <c r="I699" s="62"/>
      <c r="J699" s="62"/>
      <c r="K699" s="62"/>
      <c r="L699" s="62"/>
      <c r="M699" s="62"/>
      <c r="N699" s="62"/>
      <c r="O699" s="62"/>
      <c r="P699" s="62"/>
      <c r="Q699" s="62"/>
      <c r="R699" s="62"/>
      <c r="S699" s="258"/>
      <c r="T699" s="248" t="str">
        <f t="shared" si="94"/>
        <v/>
      </c>
      <c r="U699" s="249" t="str">
        <f t="shared" si="95"/>
        <v/>
      </c>
      <c r="V699" s="294" t="str">
        <f t="shared" si="91"/>
        <v/>
      </c>
      <c r="W699" s="294" t="str">
        <f>IF(((E699="")+(F699="")),"",IF(VLOOKUP(F699,Mannschaften!$A$1:$B$54,2,FALSE)&lt;&gt;E699,"Reiter Mannschaften füllen",""))</f>
        <v/>
      </c>
      <c r="X699" s="248" t="str">
        <f>IF(ISBLANK(C699),"",IF((U699&gt;(LOOKUP(E699,WKNrListe,Übersicht!$O$7:$O$46)))+(U699&lt;(LOOKUP(E699,WKNrListe,Übersicht!$P$7:$P$46))),"JG falsch",""))</f>
        <v/>
      </c>
      <c r="Y699" s="255" t="str">
        <f>IF((A699="")*(B699=""),"",IF(ISERROR(MATCH(E699,WKNrListe,0)),"WK falsch",LOOKUP(E699,WKNrListe,Übersicht!$B$7:$B$46)))</f>
        <v/>
      </c>
      <c r="Z699" s="269" t="str">
        <f>IF(((AJ699=0)*(AH699&lt;&gt;"")*(AK699="-"))+((AJ699&lt;&gt;0)*(AH699&lt;&gt;"")*(AK699="-")),IF(AG699="X",Übersicht!$C$70,Übersicht!$C$69),"-")</f>
        <v>-</v>
      </c>
      <c r="AA699" s="252" t="str">
        <f>IF((($A699="")*($B699=""))+((MID($Y699,1,4)&lt;&gt;"Wahl")*(Deckblatt!$C$14='WK-Vorlagen'!$C$82))+(Deckblatt!$C$14&lt;&gt;'WK-Vorlagen'!$C$82),"",IF(ISERROR(MATCH(VALUE(MID(G699,1,2)),Schwierigkeitsstufen!$G$7:$G$19,0)),"Gerät falsch",LOOKUP(VALUE(MID(G699,1,2)),Schwierigkeitsstufen!$G$7:$G$19,Schwierigkeitsstufen!$H$7:$H$19)))</f>
        <v/>
      </c>
      <c r="AB699" s="250" t="str">
        <f>IF((($A699="")*($B699=""))+((MID($Y699,1,4)&lt;&gt;"Wahl")*(Deckblatt!$C$14='WK-Vorlagen'!$C$82))+(Deckblatt!$C$14&lt;&gt;'WK-Vorlagen'!$C$82),"",IF(ISERROR(MATCH(VALUE(MID(H699,1,2)),Schwierigkeitsstufen!$G$7:$G$19,0)),"Gerät falsch",LOOKUP(VALUE(MID(H699,1,2)),Schwierigkeitsstufen!$G$7:$G$19,Schwierigkeitsstufen!$H$7:$H$19)))</f>
        <v/>
      </c>
      <c r="AC699" s="250" t="str">
        <f>IF((($A699="")*($B699=""))+((MID($Y699,1,4)&lt;&gt;"Wahl")*(Deckblatt!$C$14='WK-Vorlagen'!$C$82))+(Deckblatt!$C$14&lt;&gt;'WK-Vorlagen'!$C$82),"",IF(ISERROR(MATCH(VALUE(MID(I699,1,2)),Schwierigkeitsstufen!$G$7:$G$19,0)),"Gerät falsch",LOOKUP(VALUE(MID(I699,1,2)),Schwierigkeitsstufen!$G$7:$G$19,Schwierigkeitsstufen!$H$7:$H$19)))</f>
        <v/>
      </c>
      <c r="AD699" s="251" t="str">
        <f>IF((($A699="")*($B699=""))+((MID($Y699,1,4)&lt;&gt;"Wahl")*(Deckblatt!$C$14='WK-Vorlagen'!$C$82))+(Deckblatt!$C$14&lt;&gt;'WK-Vorlagen'!$C$82),"",IF(ISERROR(MATCH(VALUE(MID(J699,1,2)),Schwierigkeitsstufen!$G$7:$G$19,0)),"Gerät falsch",LOOKUP(VALUE(MID(J699,1,2)),Schwierigkeitsstufen!$G$7:$G$19,Schwierigkeitsstufen!$H$7:$H$19)))</f>
        <v/>
      </c>
      <c r="AE699" s="211"/>
      <c r="AG699" s="221" t="str">
        <f t="shared" si="90"/>
        <v/>
      </c>
      <c r="AH699" s="222" t="str">
        <f t="shared" si="92"/>
        <v/>
      </c>
      <c r="AI699" s="220">
        <f t="shared" si="97"/>
        <v>4</v>
      </c>
      <c r="AJ699" s="222">
        <f t="shared" si="93"/>
        <v>0</v>
      </c>
      <c r="AK699" s="299" t="str">
        <f>IF(ISERROR(LOOKUP(E699,WKNrListe,Übersicht!$R$7:$R$46)),"-",LOOKUP(E699,WKNrListe,Übersicht!$R$7:$R$46))</f>
        <v>-</v>
      </c>
      <c r="AL699" s="299" t="str">
        <f t="shared" si="96"/>
        <v>-</v>
      </c>
      <c r="AM699" s="303"/>
      <c r="AN699" s="174" t="str">
        <f t="shared" si="98"/>
        <v>Leer</v>
      </c>
    </row>
    <row r="700" spans="1:40" s="174" customFormat="1" ht="15" customHeight="1">
      <c r="A700" s="63"/>
      <c r="B700" s="63"/>
      <c r="C700" s="84"/>
      <c r="D700" s="85"/>
      <c r="E700" s="62"/>
      <c r="F700" s="62"/>
      <c r="G700" s="62"/>
      <c r="H700" s="62"/>
      <c r="I700" s="62"/>
      <c r="J700" s="62"/>
      <c r="K700" s="62"/>
      <c r="L700" s="62"/>
      <c r="M700" s="62"/>
      <c r="N700" s="62"/>
      <c r="O700" s="62"/>
      <c r="P700" s="62"/>
      <c r="Q700" s="62"/>
      <c r="R700" s="62"/>
      <c r="S700" s="258"/>
      <c r="T700" s="248" t="str">
        <f t="shared" si="94"/>
        <v/>
      </c>
      <c r="U700" s="249" t="str">
        <f t="shared" si="95"/>
        <v/>
      </c>
      <c r="V700" s="294" t="str">
        <f t="shared" si="91"/>
        <v/>
      </c>
      <c r="W700" s="294" t="str">
        <f>IF(((E700="")+(F700="")),"",IF(VLOOKUP(F700,Mannschaften!$A$1:$B$54,2,FALSE)&lt;&gt;E700,"Reiter Mannschaften füllen",""))</f>
        <v/>
      </c>
      <c r="X700" s="248" t="str">
        <f>IF(ISBLANK(C700),"",IF((U700&gt;(LOOKUP(E700,WKNrListe,Übersicht!$O$7:$O$46)))+(U700&lt;(LOOKUP(E700,WKNrListe,Übersicht!$P$7:$P$46))),"JG falsch",""))</f>
        <v/>
      </c>
      <c r="Y700" s="255" t="str">
        <f>IF((A700="")*(B700=""),"",IF(ISERROR(MATCH(E700,WKNrListe,0)),"WK falsch",LOOKUP(E700,WKNrListe,Übersicht!$B$7:$B$46)))</f>
        <v/>
      </c>
      <c r="Z700" s="269" t="str">
        <f>IF(((AJ700=0)*(AH700&lt;&gt;"")*(AK700="-"))+((AJ700&lt;&gt;0)*(AH700&lt;&gt;"")*(AK700="-")),IF(AG700="X",Übersicht!$C$70,Übersicht!$C$69),"-")</f>
        <v>-</v>
      </c>
      <c r="AA700" s="252" t="str">
        <f>IF((($A700="")*($B700=""))+((MID($Y700,1,4)&lt;&gt;"Wahl")*(Deckblatt!$C$14='WK-Vorlagen'!$C$82))+(Deckblatt!$C$14&lt;&gt;'WK-Vorlagen'!$C$82),"",IF(ISERROR(MATCH(VALUE(MID(G700,1,2)),Schwierigkeitsstufen!$G$7:$G$19,0)),"Gerät falsch",LOOKUP(VALUE(MID(G700,1,2)),Schwierigkeitsstufen!$G$7:$G$19,Schwierigkeitsstufen!$H$7:$H$19)))</f>
        <v/>
      </c>
      <c r="AB700" s="250" t="str">
        <f>IF((($A700="")*($B700=""))+((MID($Y700,1,4)&lt;&gt;"Wahl")*(Deckblatt!$C$14='WK-Vorlagen'!$C$82))+(Deckblatt!$C$14&lt;&gt;'WK-Vorlagen'!$C$82),"",IF(ISERROR(MATCH(VALUE(MID(H700,1,2)),Schwierigkeitsstufen!$G$7:$G$19,0)),"Gerät falsch",LOOKUP(VALUE(MID(H700,1,2)),Schwierigkeitsstufen!$G$7:$G$19,Schwierigkeitsstufen!$H$7:$H$19)))</f>
        <v/>
      </c>
      <c r="AC700" s="250" t="str">
        <f>IF((($A700="")*($B700=""))+((MID($Y700,1,4)&lt;&gt;"Wahl")*(Deckblatt!$C$14='WK-Vorlagen'!$C$82))+(Deckblatt!$C$14&lt;&gt;'WK-Vorlagen'!$C$82),"",IF(ISERROR(MATCH(VALUE(MID(I700,1,2)),Schwierigkeitsstufen!$G$7:$G$19,0)),"Gerät falsch",LOOKUP(VALUE(MID(I700,1,2)),Schwierigkeitsstufen!$G$7:$G$19,Schwierigkeitsstufen!$H$7:$H$19)))</f>
        <v/>
      </c>
      <c r="AD700" s="251" t="str">
        <f>IF((($A700="")*($B700=""))+((MID($Y700,1,4)&lt;&gt;"Wahl")*(Deckblatt!$C$14='WK-Vorlagen'!$C$82))+(Deckblatt!$C$14&lt;&gt;'WK-Vorlagen'!$C$82),"",IF(ISERROR(MATCH(VALUE(MID(J700,1,2)),Schwierigkeitsstufen!$G$7:$G$19,0)),"Gerät falsch",LOOKUP(VALUE(MID(J700,1,2)),Schwierigkeitsstufen!$G$7:$G$19,Schwierigkeitsstufen!$H$7:$H$19)))</f>
        <v/>
      </c>
      <c r="AE700" s="211"/>
      <c r="AG700" s="221" t="str">
        <f t="shared" si="90"/>
        <v/>
      </c>
      <c r="AH700" s="222" t="str">
        <f t="shared" si="92"/>
        <v/>
      </c>
      <c r="AI700" s="220">
        <f t="shared" si="97"/>
        <v>4</v>
      </c>
      <c r="AJ700" s="222">
        <f t="shared" si="93"/>
        <v>0</v>
      </c>
      <c r="AK700" s="299" t="str">
        <f>IF(ISERROR(LOOKUP(E700,WKNrListe,Übersicht!$R$7:$R$46)),"-",LOOKUP(E700,WKNrListe,Übersicht!$R$7:$R$46))</f>
        <v>-</v>
      </c>
      <c r="AL700" s="299" t="str">
        <f t="shared" si="96"/>
        <v>-</v>
      </c>
      <c r="AM700" s="303"/>
      <c r="AN700" s="174" t="str">
        <f t="shared" si="98"/>
        <v>Leer</v>
      </c>
    </row>
    <row r="701" spans="1:40" s="174" customFormat="1" ht="15" customHeight="1">
      <c r="A701" s="63"/>
      <c r="B701" s="63"/>
      <c r="C701" s="84"/>
      <c r="D701" s="85"/>
      <c r="E701" s="62"/>
      <c r="F701" s="62"/>
      <c r="G701" s="62"/>
      <c r="H701" s="62"/>
      <c r="I701" s="62"/>
      <c r="J701" s="62"/>
      <c r="K701" s="62"/>
      <c r="L701" s="62"/>
      <c r="M701" s="62"/>
      <c r="N701" s="62"/>
      <c r="O701" s="62"/>
      <c r="P701" s="62"/>
      <c r="Q701" s="62"/>
      <c r="R701" s="62"/>
      <c r="S701" s="258"/>
      <c r="T701" s="248" t="str">
        <f t="shared" si="94"/>
        <v/>
      </c>
      <c r="U701" s="249" t="str">
        <f t="shared" si="95"/>
        <v/>
      </c>
      <c r="V701" s="294" t="str">
        <f t="shared" si="91"/>
        <v/>
      </c>
      <c r="W701" s="294" t="str">
        <f>IF(((E701="")+(F701="")),"",IF(VLOOKUP(F701,Mannschaften!$A$1:$B$54,2,FALSE)&lt;&gt;E701,"Reiter Mannschaften füllen",""))</f>
        <v/>
      </c>
      <c r="X701" s="248" t="str">
        <f>IF(ISBLANK(C701),"",IF((U701&gt;(LOOKUP(E701,WKNrListe,Übersicht!$O$7:$O$46)))+(U701&lt;(LOOKUP(E701,WKNrListe,Übersicht!$P$7:$P$46))),"JG falsch",""))</f>
        <v/>
      </c>
      <c r="Y701" s="255" t="str">
        <f>IF((A701="")*(B701=""),"",IF(ISERROR(MATCH(E701,WKNrListe,0)),"WK falsch",LOOKUP(E701,WKNrListe,Übersicht!$B$7:$B$46)))</f>
        <v/>
      </c>
      <c r="Z701" s="269" t="str">
        <f>IF(((AJ701=0)*(AH701&lt;&gt;"")*(AK701="-"))+((AJ701&lt;&gt;0)*(AH701&lt;&gt;"")*(AK701="-")),IF(AG701="X",Übersicht!$C$70,Übersicht!$C$69),"-")</f>
        <v>-</v>
      </c>
      <c r="AA701" s="252" t="str">
        <f>IF((($A701="")*($B701=""))+((MID($Y701,1,4)&lt;&gt;"Wahl")*(Deckblatt!$C$14='WK-Vorlagen'!$C$82))+(Deckblatt!$C$14&lt;&gt;'WK-Vorlagen'!$C$82),"",IF(ISERROR(MATCH(VALUE(MID(G701,1,2)),Schwierigkeitsstufen!$G$7:$G$19,0)),"Gerät falsch",LOOKUP(VALUE(MID(G701,1,2)),Schwierigkeitsstufen!$G$7:$G$19,Schwierigkeitsstufen!$H$7:$H$19)))</f>
        <v/>
      </c>
      <c r="AB701" s="250" t="str">
        <f>IF((($A701="")*($B701=""))+((MID($Y701,1,4)&lt;&gt;"Wahl")*(Deckblatt!$C$14='WK-Vorlagen'!$C$82))+(Deckblatt!$C$14&lt;&gt;'WK-Vorlagen'!$C$82),"",IF(ISERROR(MATCH(VALUE(MID(H701,1,2)),Schwierigkeitsstufen!$G$7:$G$19,0)),"Gerät falsch",LOOKUP(VALUE(MID(H701,1,2)),Schwierigkeitsstufen!$G$7:$G$19,Schwierigkeitsstufen!$H$7:$H$19)))</f>
        <v/>
      </c>
      <c r="AC701" s="250" t="str">
        <f>IF((($A701="")*($B701=""))+((MID($Y701,1,4)&lt;&gt;"Wahl")*(Deckblatt!$C$14='WK-Vorlagen'!$C$82))+(Deckblatt!$C$14&lt;&gt;'WK-Vorlagen'!$C$82),"",IF(ISERROR(MATCH(VALUE(MID(I701,1,2)),Schwierigkeitsstufen!$G$7:$G$19,0)),"Gerät falsch",LOOKUP(VALUE(MID(I701,1,2)),Schwierigkeitsstufen!$G$7:$G$19,Schwierigkeitsstufen!$H$7:$H$19)))</f>
        <v/>
      </c>
      <c r="AD701" s="251" t="str">
        <f>IF((($A701="")*($B701=""))+((MID($Y701,1,4)&lt;&gt;"Wahl")*(Deckblatt!$C$14='WK-Vorlagen'!$C$82))+(Deckblatt!$C$14&lt;&gt;'WK-Vorlagen'!$C$82),"",IF(ISERROR(MATCH(VALUE(MID(J701,1,2)),Schwierigkeitsstufen!$G$7:$G$19,0)),"Gerät falsch",LOOKUP(VALUE(MID(J701,1,2)),Schwierigkeitsstufen!$G$7:$G$19,Schwierigkeitsstufen!$H$7:$H$19)))</f>
        <v/>
      </c>
      <c r="AE701" s="211"/>
      <c r="AG701" s="221" t="str">
        <f t="shared" si="90"/>
        <v/>
      </c>
      <c r="AH701" s="222" t="str">
        <f t="shared" si="92"/>
        <v/>
      </c>
      <c r="AI701" s="220">
        <f t="shared" si="97"/>
        <v>4</v>
      </c>
      <c r="AJ701" s="222">
        <f t="shared" si="93"/>
        <v>0</v>
      </c>
      <c r="AK701" s="299" t="str">
        <f>IF(ISERROR(LOOKUP(E701,WKNrListe,Übersicht!$R$7:$R$46)),"-",LOOKUP(E701,WKNrListe,Übersicht!$R$7:$R$46))</f>
        <v>-</v>
      </c>
      <c r="AL701" s="299" t="str">
        <f t="shared" si="96"/>
        <v>-</v>
      </c>
      <c r="AM701" s="303"/>
      <c r="AN701" s="174" t="str">
        <f t="shared" si="98"/>
        <v>Leer</v>
      </c>
    </row>
    <row r="702" spans="1:40" s="174" customFormat="1" ht="15" customHeight="1">
      <c r="A702" s="63"/>
      <c r="B702" s="63"/>
      <c r="C702" s="84"/>
      <c r="D702" s="85"/>
      <c r="E702" s="62"/>
      <c r="F702" s="62"/>
      <c r="G702" s="62"/>
      <c r="H702" s="62"/>
      <c r="I702" s="62"/>
      <c r="J702" s="62"/>
      <c r="K702" s="62"/>
      <c r="L702" s="62"/>
      <c r="M702" s="62"/>
      <c r="N702" s="62"/>
      <c r="O702" s="62"/>
      <c r="P702" s="62"/>
      <c r="Q702" s="62"/>
      <c r="R702" s="62"/>
      <c r="S702" s="258"/>
      <c r="T702" s="248" t="str">
        <f t="shared" si="94"/>
        <v/>
      </c>
      <c r="U702" s="249" t="str">
        <f t="shared" si="95"/>
        <v/>
      </c>
      <c r="V702" s="294" t="str">
        <f t="shared" si="91"/>
        <v/>
      </c>
      <c r="W702" s="294" t="str">
        <f>IF(((E702="")+(F702="")),"",IF(VLOOKUP(F702,Mannschaften!$A$1:$B$54,2,FALSE)&lt;&gt;E702,"Reiter Mannschaften füllen",""))</f>
        <v/>
      </c>
      <c r="X702" s="248" t="str">
        <f>IF(ISBLANK(C702),"",IF((U702&gt;(LOOKUP(E702,WKNrListe,Übersicht!$O$7:$O$46)))+(U702&lt;(LOOKUP(E702,WKNrListe,Übersicht!$P$7:$P$46))),"JG falsch",""))</f>
        <v/>
      </c>
      <c r="Y702" s="255" t="str">
        <f>IF((A702="")*(B702=""),"",IF(ISERROR(MATCH(E702,WKNrListe,0)),"WK falsch",LOOKUP(E702,WKNrListe,Übersicht!$B$7:$B$46)))</f>
        <v/>
      </c>
      <c r="Z702" s="269" t="str">
        <f>IF(((AJ702=0)*(AH702&lt;&gt;"")*(AK702="-"))+((AJ702&lt;&gt;0)*(AH702&lt;&gt;"")*(AK702="-")),IF(AG702="X",Übersicht!$C$70,Übersicht!$C$69),"-")</f>
        <v>-</v>
      </c>
      <c r="AA702" s="252" t="str">
        <f>IF((($A702="")*($B702=""))+((MID($Y702,1,4)&lt;&gt;"Wahl")*(Deckblatt!$C$14='WK-Vorlagen'!$C$82))+(Deckblatt!$C$14&lt;&gt;'WK-Vorlagen'!$C$82),"",IF(ISERROR(MATCH(VALUE(MID(G702,1,2)),Schwierigkeitsstufen!$G$7:$G$19,0)),"Gerät falsch",LOOKUP(VALUE(MID(G702,1,2)),Schwierigkeitsstufen!$G$7:$G$19,Schwierigkeitsstufen!$H$7:$H$19)))</f>
        <v/>
      </c>
      <c r="AB702" s="250" t="str">
        <f>IF((($A702="")*($B702=""))+((MID($Y702,1,4)&lt;&gt;"Wahl")*(Deckblatt!$C$14='WK-Vorlagen'!$C$82))+(Deckblatt!$C$14&lt;&gt;'WK-Vorlagen'!$C$82),"",IF(ISERROR(MATCH(VALUE(MID(H702,1,2)),Schwierigkeitsstufen!$G$7:$G$19,0)),"Gerät falsch",LOOKUP(VALUE(MID(H702,1,2)),Schwierigkeitsstufen!$G$7:$G$19,Schwierigkeitsstufen!$H$7:$H$19)))</f>
        <v/>
      </c>
      <c r="AC702" s="250" t="str">
        <f>IF((($A702="")*($B702=""))+((MID($Y702,1,4)&lt;&gt;"Wahl")*(Deckblatt!$C$14='WK-Vorlagen'!$C$82))+(Deckblatt!$C$14&lt;&gt;'WK-Vorlagen'!$C$82),"",IF(ISERROR(MATCH(VALUE(MID(I702,1,2)),Schwierigkeitsstufen!$G$7:$G$19,0)),"Gerät falsch",LOOKUP(VALUE(MID(I702,1,2)),Schwierigkeitsstufen!$G$7:$G$19,Schwierigkeitsstufen!$H$7:$H$19)))</f>
        <v/>
      </c>
      <c r="AD702" s="251" t="str">
        <f>IF((($A702="")*($B702=""))+((MID($Y702,1,4)&lt;&gt;"Wahl")*(Deckblatt!$C$14='WK-Vorlagen'!$C$82))+(Deckblatt!$C$14&lt;&gt;'WK-Vorlagen'!$C$82),"",IF(ISERROR(MATCH(VALUE(MID(J702,1,2)),Schwierigkeitsstufen!$G$7:$G$19,0)),"Gerät falsch",LOOKUP(VALUE(MID(J702,1,2)),Schwierigkeitsstufen!$G$7:$G$19,Schwierigkeitsstufen!$H$7:$H$19)))</f>
        <v/>
      </c>
      <c r="AE702" s="211"/>
      <c r="AG702" s="221" t="str">
        <f t="shared" si="90"/>
        <v/>
      </c>
      <c r="AH702" s="222" t="str">
        <f t="shared" si="92"/>
        <v/>
      </c>
      <c r="AI702" s="220">
        <f t="shared" si="97"/>
        <v>4</v>
      </c>
      <c r="AJ702" s="222">
        <f t="shared" si="93"/>
        <v>0</v>
      </c>
      <c r="AK702" s="299" t="str">
        <f>IF(ISERROR(LOOKUP(E702,WKNrListe,Übersicht!$R$7:$R$46)),"-",LOOKUP(E702,WKNrListe,Übersicht!$R$7:$R$46))</f>
        <v>-</v>
      </c>
      <c r="AL702" s="299" t="str">
        <f t="shared" si="96"/>
        <v>-</v>
      </c>
      <c r="AM702" s="303"/>
      <c r="AN702" s="174" t="str">
        <f t="shared" si="98"/>
        <v>Leer</v>
      </c>
    </row>
    <row r="703" spans="1:40" s="174" customFormat="1" ht="15" customHeight="1">
      <c r="A703" s="63"/>
      <c r="B703" s="63"/>
      <c r="C703" s="84"/>
      <c r="D703" s="85"/>
      <c r="E703" s="62"/>
      <c r="F703" s="62"/>
      <c r="G703" s="62"/>
      <c r="H703" s="62"/>
      <c r="I703" s="62"/>
      <c r="J703" s="62"/>
      <c r="K703" s="62"/>
      <c r="L703" s="62"/>
      <c r="M703" s="62"/>
      <c r="N703" s="62"/>
      <c r="O703" s="62"/>
      <c r="P703" s="62"/>
      <c r="Q703" s="62"/>
      <c r="R703" s="62"/>
      <c r="S703" s="258"/>
      <c r="T703" s="248" t="str">
        <f t="shared" si="94"/>
        <v/>
      </c>
      <c r="U703" s="249" t="str">
        <f t="shared" si="95"/>
        <v/>
      </c>
      <c r="V703" s="294" t="str">
        <f t="shared" si="91"/>
        <v/>
      </c>
      <c r="W703" s="294" t="str">
        <f>IF(((E703="")+(F703="")),"",IF(VLOOKUP(F703,Mannschaften!$A$1:$B$54,2,FALSE)&lt;&gt;E703,"Reiter Mannschaften füllen",""))</f>
        <v/>
      </c>
      <c r="X703" s="248" t="str">
        <f>IF(ISBLANK(C703),"",IF((U703&gt;(LOOKUP(E703,WKNrListe,Übersicht!$O$7:$O$46)))+(U703&lt;(LOOKUP(E703,WKNrListe,Übersicht!$P$7:$P$46))),"JG falsch",""))</f>
        <v/>
      </c>
      <c r="Y703" s="255" t="str">
        <f>IF((A703="")*(B703=""),"",IF(ISERROR(MATCH(E703,WKNrListe,0)),"WK falsch",LOOKUP(E703,WKNrListe,Übersicht!$B$7:$B$46)))</f>
        <v/>
      </c>
      <c r="Z703" s="269" t="str">
        <f>IF(((AJ703=0)*(AH703&lt;&gt;"")*(AK703="-"))+((AJ703&lt;&gt;0)*(AH703&lt;&gt;"")*(AK703="-")),IF(AG703="X",Übersicht!$C$70,Übersicht!$C$69),"-")</f>
        <v>-</v>
      </c>
      <c r="AA703" s="252" t="str">
        <f>IF((($A703="")*($B703=""))+((MID($Y703,1,4)&lt;&gt;"Wahl")*(Deckblatt!$C$14='WK-Vorlagen'!$C$82))+(Deckblatt!$C$14&lt;&gt;'WK-Vorlagen'!$C$82),"",IF(ISERROR(MATCH(VALUE(MID(G703,1,2)),Schwierigkeitsstufen!$G$7:$G$19,0)),"Gerät falsch",LOOKUP(VALUE(MID(G703,1,2)),Schwierigkeitsstufen!$G$7:$G$19,Schwierigkeitsstufen!$H$7:$H$19)))</f>
        <v/>
      </c>
      <c r="AB703" s="250" t="str">
        <f>IF((($A703="")*($B703=""))+((MID($Y703,1,4)&lt;&gt;"Wahl")*(Deckblatt!$C$14='WK-Vorlagen'!$C$82))+(Deckblatt!$C$14&lt;&gt;'WK-Vorlagen'!$C$82),"",IF(ISERROR(MATCH(VALUE(MID(H703,1,2)),Schwierigkeitsstufen!$G$7:$G$19,0)),"Gerät falsch",LOOKUP(VALUE(MID(H703,1,2)),Schwierigkeitsstufen!$G$7:$G$19,Schwierigkeitsstufen!$H$7:$H$19)))</f>
        <v/>
      </c>
      <c r="AC703" s="250" t="str">
        <f>IF((($A703="")*($B703=""))+((MID($Y703,1,4)&lt;&gt;"Wahl")*(Deckblatt!$C$14='WK-Vorlagen'!$C$82))+(Deckblatt!$C$14&lt;&gt;'WK-Vorlagen'!$C$82),"",IF(ISERROR(MATCH(VALUE(MID(I703,1,2)),Schwierigkeitsstufen!$G$7:$G$19,0)),"Gerät falsch",LOOKUP(VALUE(MID(I703,1,2)),Schwierigkeitsstufen!$G$7:$G$19,Schwierigkeitsstufen!$H$7:$H$19)))</f>
        <v/>
      </c>
      <c r="AD703" s="251" t="str">
        <f>IF((($A703="")*($B703=""))+((MID($Y703,1,4)&lt;&gt;"Wahl")*(Deckblatt!$C$14='WK-Vorlagen'!$C$82))+(Deckblatt!$C$14&lt;&gt;'WK-Vorlagen'!$C$82),"",IF(ISERROR(MATCH(VALUE(MID(J703,1,2)),Schwierigkeitsstufen!$G$7:$G$19,0)),"Gerät falsch",LOOKUP(VALUE(MID(J703,1,2)),Schwierigkeitsstufen!$G$7:$G$19,Schwierigkeitsstufen!$H$7:$H$19)))</f>
        <v/>
      </c>
      <c r="AE703" s="211"/>
      <c r="AG703" s="221" t="str">
        <f t="shared" si="90"/>
        <v/>
      </c>
      <c r="AH703" s="222" t="str">
        <f t="shared" si="92"/>
        <v/>
      </c>
      <c r="AI703" s="220">
        <f t="shared" si="97"/>
        <v>4</v>
      </c>
      <c r="AJ703" s="222">
        <f t="shared" si="93"/>
        <v>0</v>
      </c>
      <c r="AK703" s="299" t="str">
        <f>IF(ISERROR(LOOKUP(E703,WKNrListe,Übersicht!$R$7:$R$46)),"-",LOOKUP(E703,WKNrListe,Übersicht!$R$7:$R$46))</f>
        <v>-</v>
      </c>
      <c r="AL703" s="299" t="str">
        <f t="shared" si="96"/>
        <v>-</v>
      </c>
      <c r="AM703" s="303"/>
      <c r="AN703" s="174" t="str">
        <f t="shared" si="98"/>
        <v>Leer</v>
      </c>
    </row>
    <row r="704" spans="1:40" s="174" customFormat="1" ht="15" customHeight="1">
      <c r="A704" s="63"/>
      <c r="B704" s="63"/>
      <c r="C704" s="84"/>
      <c r="D704" s="85"/>
      <c r="E704" s="62"/>
      <c r="F704" s="62"/>
      <c r="G704" s="62"/>
      <c r="H704" s="62"/>
      <c r="I704" s="62"/>
      <c r="J704" s="62"/>
      <c r="K704" s="62"/>
      <c r="L704" s="62"/>
      <c r="M704" s="62"/>
      <c r="N704" s="62"/>
      <c r="O704" s="62"/>
      <c r="P704" s="62"/>
      <c r="Q704" s="62"/>
      <c r="R704" s="62"/>
      <c r="S704" s="258"/>
      <c r="T704" s="248" t="str">
        <f t="shared" si="94"/>
        <v/>
      </c>
      <c r="U704" s="249" t="str">
        <f t="shared" si="95"/>
        <v/>
      </c>
      <c r="V704" s="294" t="str">
        <f t="shared" si="91"/>
        <v/>
      </c>
      <c r="W704" s="294" t="str">
        <f>IF(((E704="")+(F704="")),"",IF(VLOOKUP(F704,Mannschaften!$A$1:$B$54,2,FALSE)&lt;&gt;E704,"Reiter Mannschaften füllen",""))</f>
        <v/>
      </c>
      <c r="X704" s="248" t="str">
        <f>IF(ISBLANK(C704),"",IF((U704&gt;(LOOKUP(E704,WKNrListe,Übersicht!$O$7:$O$46)))+(U704&lt;(LOOKUP(E704,WKNrListe,Übersicht!$P$7:$P$46))),"JG falsch",""))</f>
        <v/>
      </c>
      <c r="Y704" s="255" t="str">
        <f>IF((A704="")*(B704=""),"",IF(ISERROR(MATCH(E704,WKNrListe,0)),"WK falsch",LOOKUP(E704,WKNrListe,Übersicht!$B$7:$B$46)))</f>
        <v/>
      </c>
      <c r="Z704" s="269" t="str">
        <f>IF(((AJ704=0)*(AH704&lt;&gt;"")*(AK704="-"))+((AJ704&lt;&gt;0)*(AH704&lt;&gt;"")*(AK704="-")),IF(AG704="X",Übersicht!$C$70,Übersicht!$C$69),"-")</f>
        <v>-</v>
      </c>
      <c r="AA704" s="252" t="str">
        <f>IF((($A704="")*($B704=""))+((MID($Y704,1,4)&lt;&gt;"Wahl")*(Deckblatt!$C$14='WK-Vorlagen'!$C$82))+(Deckblatt!$C$14&lt;&gt;'WK-Vorlagen'!$C$82),"",IF(ISERROR(MATCH(VALUE(MID(G704,1,2)),Schwierigkeitsstufen!$G$7:$G$19,0)),"Gerät falsch",LOOKUP(VALUE(MID(G704,1,2)),Schwierigkeitsstufen!$G$7:$G$19,Schwierigkeitsstufen!$H$7:$H$19)))</f>
        <v/>
      </c>
      <c r="AB704" s="250" t="str">
        <f>IF((($A704="")*($B704=""))+((MID($Y704,1,4)&lt;&gt;"Wahl")*(Deckblatt!$C$14='WK-Vorlagen'!$C$82))+(Deckblatt!$C$14&lt;&gt;'WK-Vorlagen'!$C$82),"",IF(ISERROR(MATCH(VALUE(MID(H704,1,2)),Schwierigkeitsstufen!$G$7:$G$19,0)),"Gerät falsch",LOOKUP(VALUE(MID(H704,1,2)),Schwierigkeitsstufen!$G$7:$G$19,Schwierigkeitsstufen!$H$7:$H$19)))</f>
        <v/>
      </c>
      <c r="AC704" s="250" t="str">
        <f>IF((($A704="")*($B704=""))+((MID($Y704,1,4)&lt;&gt;"Wahl")*(Deckblatt!$C$14='WK-Vorlagen'!$C$82))+(Deckblatt!$C$14&lt;&gt;'WK-Vorlagen'!$C$82),"",IF(ISERROR(MATCH(VALUE(MID(I704,1,2)),Schwierigkeitsstufen!$G$7:$G$19,0)),"Gerät falsch",LOOKUP(VALUE(MID(I704,1,2)),Schwierigkeitsstufen!$G$7:$G$19,Schwierigkeitsstufen!$H$7:$H$19)))</f>
        <v/>
      </c>
      <c r="AD704" s="251" t="str">
        <f>IF((($A704="")*($B704=""))+((MID($Y704,1,4)&lt;&gt;"Wahl")*(Deckblatt!$C$14='WK-Vorlagen'!$C$82))+(Deckblatt!$C$14&lt;&gt;'WK-Vorlagen'!$C$82),"",IF(ISERROR(MATCH(VALUE(MID(J704,1,2)),Schwierigkeitsstufen!$G$7:$G$19,0)),"Gerät falsch",LOOKUP(VALUE(MID(J704,1,2)),Schwierigkeitsstufen!$G$7:$G$19,Schwierigkeitsstufen!$H$7:$H$19)))</f>
        <v/>
      </c>
      <c r="AE704" s="211"/>
      <c r="AG704" s="221" t="str">
        <f t="shared" si="90"/>
        <v/>
      </c>
      <c r="AH704" s="222" t="str">
        <f t="shared" si="92"/>
        <v/>
      </c>
      <c r="AI704" s="220">
        <f t="shared" si="97"/>
        <v>4</v>
      </c>
      <c r="AJ704" s="222">
        <f t="shared" si="93"/>
        <v>0</v>
      </c>
      <c r="AK704" s="299" t="str">
        <f>IF(ISERROR(LOOKUP(E704,WKNrListe,Übersicht!$R$7:$R$46)),"-",LOOKUP(E704,WKNrListe,Übersicht!$R$7:$R$46))</f>
        <v>-</v>
      </c>
      <c r="AL704" s="299" t="str">
        <f t="shared" si="96"/>
        <v>-</v>
      </c>
      <c r="AM704" s="303"/>
      <c r="AN704" s="174" t="str">
        <f t="shared" si="98"/>
        <v>Leer</v>
      </c>
    </row>
    <row r="705" spans="1:40" s="174" customFormat="1" ht="15" customHeight="1">
      <c r="A705" s="63"/>
      <c r="B705" s="63"/>
      <c r="C705" s="84"/>
      <c r="D705" s="85"/>
      <c r="E705" s="62"/>
      <c r="F705" s="62"/>
      <c r="G705" s="62"/>
      <c r="H705" s="62"/>
      <c r="I705" s="62"/>
      <c r="J705" s="62"/>
      <c r="K705" s="62"/>
      <c r="L705" s="62"/>
      <c r="M705" s="62"/>
      <c r="N705" s="62"/>
      <c r="O705" s="62"/>
      <c r="P705" s="62"/>
      <c r="Q705" s="62"/>
      <c r="R705" s="62"/>
      <c r="S705" s="258"/>
      <c r="T705" s="248" t="str">
        <f t="shared" si="94"/>
        <v/>
      </c>
      <c r="U705" s="249" t="str">
        <f t="shared" si="95"/>
        <v/>
      </c>
      <c r="V705" s="294" t="str">
        <f t="shared" si="91"/>
        <v/>
      </c>
      <c r="W705" s="294" t="str">
        <f>IF(((E705="")+(F705="")),"",IF(VLOOKUP(F705,Mannschaften!$A$1:$B$54,2,FALSE)&lt;&gt;E705,"Reiter Mannschaften füllen",""))</f>
        <v/>
      </c>
      <c r="X705" s="248" t="str">
        <f>IF(ISBLANK(C705),"",IF((U705&gt;(LOOKUP(E705,WKNrListe,Übersicht!$O$7:$O$46)))+(U705&lt;(LOOKUP(E705,WKNrListe,Übersicht!$P$7:$P$46))),"JG falsch",""))</f>
        <v/>
      </c>
      <c r="Y705" s="255" t="str">
        <f>IF((A705="")*(B705=""),"",IF(ISERROR(MATCH(E705,WKNrListe,0)),"WK falsch",LOOKUP(E705,WKNrListe,Übersicht!$B$7:$B$46)))</f>
        <v/>
      </c>
      <c r="Z705" s="269" t="str">
        <f>IF(((AJ705=0)*(AH705&lt;&gt;"")*(AK705="-"))+((AJ705&lt;&gt;0)*(AH705&lt;&gt;"")*(AK705="-")),IF(AG705="X",Übersicht!$C$70,Übersicht!$C$69),"-")</f>
        <v>-</v>
      </c>
      <c r="AA705" s="252" t="str">
        <f>IF((($A705="")*($B705=""))+((MID($Y705,1,4)&lt;&gt;"Wahl")*(Deckblatt!$C$14='WK-Vorlagen'!$C$82))+(Deckblatt!$C$14&lt;&gt;'WK-Vorlagen'!$C$82),"",IF(ISERROR(MATCH(VALUE(MID(G705,1,2)),Schwierigkeitsstufen!$G$7:$G$19,0)),"Gerät falsch",LOOKUP(VALUE(MID(G705,1,2)),Schwierigkeitsstufen!$G$7:$G$19,Schwierigkeitsstufen!$H$7:$H$19)))</f>
        <v/>
      </c>
      <c r="AB705" s="250" t="str">
        <f>IF((($A705="")*($B705=""))+((MID($Y705,1,4)&lt;&gt;"Wahl")*(Deckblatt!$C$14='WK-Vorlagen'!$C$82))+(Deckblatt!$C$14&lt;&gt;'WK-Vorlagen'!$C$82),"",IF(ISERROR(MATCH(VALUE(MID(H705,1,2)),Schwierigkeitsstufen!$G$7:$G$19,0)),"Gerät falsch",LOOKUP(VALUE(MID(H705,1,2)),Schwierigkeitsstufen!$G$7:$G$19,Schwierigkeitsstufen!$H$7:$H$19)))</f>
        <v/>
      </c>
      <c r="AC705" s="250" t="str">
        <f>IF((($A705="")*($B705=""))+((MID($Y705,1,4)&lt;&gt;"Wahl")*(Deckblatt!$C$14='WK-Vorlagen'!$C$82))+(Deckblatt!$C$14&lt;&gt;'WK-Vorlagen'!$C$82),"",IF(ISERROR(MATCH(VALUE(MID(I705,1,2)),Schwierigkeitsstufen!$G$7:$G$19,0)),"Gerät falsch",LOOKUP(VALUE(MID(I705,1,2)),Schwierigkeitsstufen!$G$7:$G$19,Schwierigkeitsstufen!$H$7:$H$19)))</f>
        <v/>
      </c>
      <c r="AD705" s="251" t="str">
        <f>IF((($A705="")*($B705=""))+((MID($Y705,1,4)&lt;&gt;"Wahl")*(Deckblatt!$C$14='WK-Vorlagen'!$C$82))+(Deckblatt!$C$14&lt;&gt;'WK-Vorlagen'!$C$82),"",IF(ISERROR(MATCH(VALUE(MID(J705,1,2)),Schwierigkeitsstufen!$G$7:$G$19,0)),"Gerät falsch",LOOKUP(VALUE(MID(J705,1,2)),Schwierigkeitsstufen!$G$7:$G$19,Schwierigkeitsstufen!$H$7:$H$19)))</f>
        <v/>
      </c>
      <c r="AE705" s="211"/>
      <c r="AG705" s="221" t="str">
        <f t="shared" si="90"/>
        <v/>
      </c>
      <c r="AH705" s="222" t="str">
        <f t="shared" si="92"/>
        <v/>
      </c>
      <c r="AI705" s="220">
        <f t="shared" si="97"/>
        <v>4</v>
      </c>
      <c r="AJ705" s="222">
        <f t="shared" si="93"/>
        <v>0</v>
      </c>
      <c r="AK705" s="299" t="str">
        <f>IF(ISERROR(LOOKUP(E705,WKNrListe,Übersicht!$R$7:$R$46)),"-",LOOKUP(E705,WKNrListe,Übersicht!$R$7:$R$46))</f>
        <v>-</v>
      </c>
      <c r="AL705" s="299" t="str">
        <f t="shared" si="96"/>
        <v>-</v>
      </c>
      <c r="AM705" s="303"/>
      <c r="AN705" s="174" t="str">
        <f t="shared" si="98"/>
        <v>Leer</v>
      </c>
    </row>
    <row r="706" spans="1:40" s="174" customFormat="1" ht="15" customHeight="1">
      <c r="A706" s="63"/>
      <c r="B706" s="63"/>
      <c r="C706" s="84"/>
      <c r="D706" s="85"/>
      <c r="E706" s="62"/>
      <c r="F706" s="62"/>
      <c r="G706" s="62"/>
      <c r="H706" s="62"/>
      <c r="I706" s="62"/>
      <c r="J706" s="62"/>
      <c r="K706" s="62"/>
      <c r="L706" s="62"/>
      <c r="M706" s="62"/>
      <c r="N706" s="62"/>
      <c r="O706" s="62"/>
      <c r="P706" s="62"/>
      <c r="Q706" s="62"/>
      <c r="R706" s="62"/>
      <c r="S706" s="258"/>
      <c r="T706" s="248" t="str">
        <f t="shared" si="94"/>
        <v/>
      </c>
      <c r="U706" s="249" t="str">
        <f t="shared" si="95"/>
        <v/>
      </c>
      <c r="V706" s="294" t="str">
        <f t="shared" si="91"/>
        <v/>
      </c>
      <c r="W706" s="294" t="str">
        <f>IF(((E706="")+(F706="")),"",IF(VLOOKUP(F706,Mannschaften!$A$1:$B$54,2,FALSE)&lt;&gt;E706,"Reiter Mannschaften füllen",""))</f>
        <v/>
      </c>
      <c r="X706" s="248" t="str">
        <f>IF(ISBLANK(C706),"",IF((U706&gt;(LOOKUP(E706,WKNrListe,Übersicht!$O$7:$O$46)))+(U706&lt;(LOOKUP(E706,WKNrListe,Übersicht!$P$7:$P$46))),"JG falsch",""))</f>
        <v/>
      </c>
      <c r="Y706" s="255" t="str">
        <f>IF((A706="")*(B706=""),"",IF(ISERROR(MATCH(E706,WKNrListe,0)),"WK falsch",LOOKUP(E706,WKNrListe,Übersicht!$B$7:$B$46)))</f>
        <v/>
      </c>
      <c r="Z706" s="269" t="str">
        <f>IF(((AJ706=0)*(AH706&lt;&gt;"")*(AK706="-"))+((AJ706&lt;&gt;0)*(AH706&lt;&gt;"")*(AK706="-")),IF(AG706="X",Übersicht!$C$70,Übersicht!$C$69),"-")</f>
        <v>-</v>
      </c>
      <c r="AA706" s="252" t="str">
        <f>IF((($A706="")*($B706=""))+((MID($Y706,1,4)&lt;&gt;"Wahl")*(Deckblatt!$C$14='WK-Vorlagen'!$C$82))+(Deckblatt!$C$14&lt;&gt;'WK-Vorlagen'!$C$82),"",IF(ISERROR(MATCH(VALUE(MID(G706,1,2)),Schwierigkeitsstufen!$G$7:$G$19,0)),"Gerät falsch",LOOKUP(VALUE(MID(G706,1,2)),Schwierigkeitsstufen!$G$7:$G$19,Schwierigkeitsstufen!$H$7:$H$19)))</f>
        <v/>
      </c>
      <c r="AB706" s="250" t="str">
        <f>IF((($A706="")*($B706=""))+((MID($Y706,1,4)&lt;&gt;"Wahl")*(Deckblatt!$C$14='WK-Vorlagen'!$C$82))+(Deckblatt!$C$14&lt;&gt;'WK-Vorlagen'!$C$82),"",IF(ISERROR(MATCH(VALUE(MID(H706,1,2)),Schwierigkeitsstufen!$G$7:$G$19,0)),"Gerät falsch",LOOKUP(VALUE(MID(H706,1,2)),Schwierigkeitsstufen!$G$7:$G$19,Schwierigkeitsstufen!$H$7:$H$19)))</f>
        <v/>
      </c>
      <c r="AC706" s="250" t="str">
        <f>IF((($A706="")*($B706=""))+((MID($Y706,1,4)&lt;&gt;"Wahl")*(Deckblatt!$C$14='WK-Vorlagen'!$C$82))+(Deckblatt!$C$14&lt;&gt;'WK-Vorlagen'!$C$82),"",IF(ISERROR(MATCH(VALUE(MID(I706,1,2)),Schwierigkeitsstufen!$G$7:$G$19,0)),"Gerät falsch",LOOKUP(VALUE(MID(I706,1,2)),Schwierigkeitsstufen!$G$7:$G$19,Schwierigkeitsstufen!$H$7:$H$19)))</f>
        <v/>
      </c>
      <c r="AD706" s="251" t="str">
        <f>IF((($A706="")*($B706=""))+((MID($Y706,1,4)&lt;&gt;"Wahl")*(Deckblatt!$C$14='WK-Vorlagen'!$C$82))+(Deckblatt!$C$14&lt;&gt;'WK-Vorlagen'!$C$82),"",IF(ISERROR(MATCH(VALUE(MID(J706,1,2)),Schwierigkeitsstufen!$G$7:$G$19,0)),"Gerät falsch",LOOKUP(VALUE(MID(J706,1,2)),Schwierigkeitsstufen!$G$7:$G$19,Schwierigkeitsstufen!$H$7:$H$19)))</f>
        <v/>
      </c>
      <c r="AE706" s="211"/>
      <c r="AG706" s="221" t="str">
        <f t="shared" si="90"/>
        <v/>
      </c>
      <c r="AH706" s="222" t="str">
        <f t="shared" si="92"/>
        <v/>
      </c>
      <c r="AI706" s="220">
        <f t="shared" si="97"/>
        <v>4</v>
      </c>
      <c r="AJ706" s="222">
        <f t="shared" si="93"/>
        <v>0</v>
      </c>
      <c r="AK706" s="299" t="str">
        <f>IF(ISERROR(LOOKUP(E706,WKNrListe,Übersicht!$R$7:$R$46)),"-",LOOKUP(E706,WKNrListe,Übersicht!$R$7:$R$46))</f>
        <v>-</v>
      </c>
      <c r="AL706" s="299" t="str">
        <f t="shared" si="96"/>
        <v>-</v>
      </c>
      <c r="AM706" s="303"/>
      <c r="AN706" s="174" t="str">
        <f t="shared" si="98"/>
        <v>Leer</v>
      </c>
    </row>
    <row r="707" spans="1:40" s="174" customFormat="1" ht="15" customHeight="1">
      <c r="A707" s="63"/>
      <c r="B707" s="63"/>
      <c r="C707" s="84"/>
      <c r="D707" s="85"/>
      <c r="E707" s="62"/>
      <c r="F707" s="62"/>
      <c r="G707" s="62"/>
      <c r="H707" s="62"/>
      <c r="I707" s="62"/>
      <c r="J707" s="62"/>
      <c r="K707" s="62"/>
      <c r="L707" s="62"/>
      <c r="M707" s="62"/>
      <c r="N707" s="62"/>
      <c r="O707" s="62"/>
      <c r="P707" s="62"/>
      <c r="Q707" s="62"/>
      <c r="R707" s="62"/>
      <c r="S707" s="258"/>
      <c r="T707" s="248" t="str">
        <f t="shared" si="94"/>
        <v/>
      </c>
      <c r="U707" s="249" t="str">
        <f t="shared" si="95"/>
        <v/>
      </c>
      <c r="V707" s="294" t="str">
        <f t="shared" si="91"/>
        <v/>
      </c>
      <c r="W707" s="294" t="str">
        <f>IF(((E707="")+(F707="")),"",IF(VLOOKUP(F707,Mannschaften!$A$1:$B$54,2,FALSE)&lt;&gt;E707,"Reiter Mannschaften füllen",""))</f>
        <v/>
      </c>
      <c r="X707" s="248" t="str">
        <f>IF(ISBLANK(C707),"",IF((U707&gt;(LOOKUP(E707,WKNrListe,Übersicht!$O$7:$O$46)))+(U707&lt;(LOOKUP(E707,WKNrListe,Übersicht!$P$7:$P$46))),"JG falsch",""))</f>
        <v/>
      </c>
      <c r="Y707" s="255" t="str">
        <f>IF((A707="")*(B707=""),"",IF(ISERROR(MATCH(E707,WKNrListe,0)),"WK falsch",LOOKUP(E707,WKNrListe,Übersicht!$B$7:$B$46)))</f>
        <v/>
      </c>
      <c r="Z707" s="269" t="str">
        <f>IF(((AJ707=0)*(AH707&lt;&gt;"")*(AK707="-"))+((AJ707&lt;&gt;0)*(AH707&lt;&gt;"")*(AK707="-")),IF(AG707="X",Übersicht!$C$70,Übersicht!$C$69),"-")</f>
        <v>-</v>
      </c>
      <c r="AA707" s="252" t="str">
        <f>IF((($A707="")*($B707=""))+((MID($Y707,1,4)&lt;&gt;"Wahl")*(Deckblatt!$C$14='WK-Vorlagen'!$C$82))+(Deckblatt!$C$14&lt;&gt;'WK-Vorlagen'!$C$82),"",IF(ISERROR(MATCH(VALUE(MID(G707,1,2)),Schwierigkeitsstufen!$G$7:$G$19,0)),"Gerät falsch",LOOKUP(VALUE(MID(G707,1,2)),Schwierigkeitsstufen!$G$7:$G$19,Schwierigkeitsstufen!$H$7:$H$19)))</f>
        <v/>
      </c>
      <c r="AB707" s="250" t="str">
        <f>IF((($A707="")*($B707=""))+((MID($Y707,1,4)&lt;&gt;"Wahl")*(Deckblatt!$C$14='WK-Vorlagen'!$C$82))+(Deckblatt!$C$14&lt;&gt;'WK-Vorlagen'!$C$82),"",IF(ISERROR(MATCH(VALUE(MID(H707,1,2)),Schwierigkeitsstufen!$G$7:$G$19,0)),"Gerät falsch",LOOKUP(VALUE(MID(H707,1,2)),Schwierigkeitsstufen!$G$7:$G$19,Schwierigkeitsstufen!$H$7:$H$19)))</f>
        <v/>
      </c>
      <c r="AC707" s="250" t="str">
        <f>IF((($A707="")*($B707=""))+((MID($Y707,1,4)&lt;&gt;"Wahl")*(Deckblatt!$C$14='WK-Vorlagen'!$C$82))+(Deckblatt!$C$14&lt;&gt;'WK-Vorlagen'!$C$82),"",IF(ISERROR(MATCH(VALUE(MID(I707,1,2)),Schwierigkeitsstufen!$G$7:$G$19,0)),"Gerät falsch",LOOKUP(VALUE(MID(I707,1,2)),Schwierigkeitsstufen!$G$7:$G$19,Schwierigkeitsstufen!$H$7:$H$19)))</f>
        <v/>
      </c>
      <c r="AD707" s="251" t="str">
        <f>IF((($A707="")*($B707=""))+((MID($Y707,1,4)&lt;&gt;"Wahl")*(Deckblatt!$C$14='WK-Vorlagen'!$C$82))+(Deckblatt!$C$14&lt;&gt;'WK-Vorlagen'!$C$82),"",IF(ISERROR(MATCH(VALUE(MID(J707,1,2)),Schwierigkeitsstufen!$G$7:$G$19,0)),"Gerät falsch",LOOKUP(VALUE(MID(J707,1,2)),Schwierigkeitsstufen!$G$7:$G$19,Schwierigkeitsstufen!$H$7:$H$19)))</f>
        <v/>
      </c>
      <c r="AE707" s="211"/>
      <c r="AG707" s="221" t="str">
        <f t="shared" si="90"/>
        <v/>
      </c>
      <c r="AH707" s="222" t="str">
        <f t="shared" si="92"/>
        <v/>
      </c>
      <c r="AI707" s="220">
        <f t="shared" si="97"/>
        <v>4</v>
      </c>
      <c r="AJ707" s="222">
        <f t="shared" si="93"/>
        <v>0</v>
      </c>
      <c r="AK707" s="299" t="str">
        <f>IF(ISERROR(LOOKUP(E707,WKNrListe,Übersicht!$R$7:$R$46)),"-",LOOKUP(E707,WKNrListe,Übersicht!$R$7:$R$46))</f>
        <v>-</v>
      </c>
      <c r="AL707" s="299" t="str">
        <f t="shared" si="96"/>
        <v>-</v>
      </c>
      <c r="AM707" s="303"/>
      <c r="AN707" s="174" t="str">
        <f t="shared" si="98"/>
        <v>Leer</v>
      </c>
    </row>
    <row r="708" spans="1:40" s="174" customFormat="1" ht="15" customHeight="1">
      <c r="A708" s="63"/>
      <c r="B708" s="63"/>
      <c r="C708" s="84"/>
      <c r="D708" s="85"/>
      <c r="E708" s="62"/>
      <c r="F708" s="62"/>
      <c r="G708" s="62"/>
      <c r="H708" s="62"/>
      <c r="I708" s="62"/>
      <c r="J708" s="62"/>
      <c r="K708" s="62"/>
      <c r="L708" s="62"/>
      <c r="M708" s="62"/>
      <c r="N708" s="62"/>
      <c r="O708" s="62"/>
      <c r="P708" s="62"/>
      <c r="Q708" s="62"/>
      <c r="R708" s="62"/>
      <c r="S708" s="258"/>
      <c r="T708" s="248" t="str">
        <f t="shared" si="94"/>
        <v/>
      </c>
      <c r="U708" s="249" t="str">
        <f t="shared" si="95"/>
        <v/>
      </c>
      <c r="V708" s="294" t="str">
        <f t="shared" si="91"/>
        <v/>
      </c>
      <c r="W708" s="294" t="str">
        <f>IF(((E708="")+(F708="")),"",IF(VLOOKUP(F708,Mannschaften!$A$1:$B$54,2,FALSE)&lt;&gt;E708,"Reiter Mannschaften füllen",""))</f>
        <v/>
      </c>
      <c r="X708" s="248" t="str">
        <f>IF(ISBLANK(C708),"",IF((U708&gt;(LOOKUP(E708,WKNrListe,Übersicht!$O$7:$O$46)))+(U708&lt;(LOOKUP(E708,WKNrListe,Übersicht!$P$7:$P$46))),"JG falsch",""))</f>
        <v/>
      </c>
      <c r="Y708" s="255" t="str">
        <f>IF((A708="")*(B708=""),"",IF(ISERROR(MATCH(E708,WKNrListe,0)),"WK falsch",LOOKUP(E708,WKNrListe,Übersicht!$B$7:$B$46)))</f>
        <v/>
      </c>
      <c r="Z708" s="269" t="str">
        <f>IF(((AJ708=0)*(AH708&lt;&gt;"")*(AK708="-"))+((AJ708&lt;&gt;0)*(AH708&lt;&gt;"")*(AK708="-")),IF(AG708="X",Übersicht!$C$70,Übersicht!$C$69),"-")</f>
        <v>-</v>
      </c>
      <c r="AA708" s="252" t="str">
        <f>IF((($A708="")*($B708=""))+((MID($Y708,1,4)&lt;&gt;"Wahl")*(Deckblatt!$C$14='WK-Vorlagen'!$C$82))+(Deckblatt!$C$14&lt;&gt;'WK-Vorlagen'!$C$82),"",IF(ISERROR(MATCH(VALUE(MID(G708,1,2)),Schwierigkeitsstufen!$G$7:$G$19,0)),"Gerät falsch",LOOKUP(VALUE(MID(G708,1,2)),Schwierigkeitsstufen!$G$7:$G$19,Schwierigkeitsstufen!$H$7:$H$19)))</f>
        <v/>
      </c>
      <c r="AB708" s="250" t="str">
        <f>IF((($A708="")*($B708=""))+((MID($Y708,1,4)&lt;&gt;"Wahl")*(Deckblatt!$C$14='WK-Vorlagen'!$C$82))+(Deckblatt!$C$14&lt;&gt;'WK-Vorlagen'!$C$82),"",IF(ISERROR(MATCH(VALUE(MID(H708,1,2)),Schwierigkeitsstufen!$G$7:$G$19,0)),"Gerät falsch",LOOKUP(VALUE(MID(H708,1,2)),Schwierigkeitsstufen!$G$7:$G$19,Schwierigkeitsstufen!$H$7:$H$19)))</f>
        <v/>
      </c>
      <c r="AC708" s="250" t="str">
        <f>IF((($A708="")*($B708=""))+((MID($Y708,1,4)&lt;&gt;"Wahl")*(Deckblatt!$C$14='WK-Vorlagen'!$C$82))+(Deckblatt!$C$14&lt;&gt;'WK-Vorlagen'!$C$82),"",IF(ISERROR(MATCH(VALUE(MID(I708,1,2)),Schwierigkeitsstufen!$G$7:$G$19,0)),"Gerät falsch",LOOKUP(VALUE(MID(I708,1,2)),Schwierigkeitsstufen!$G$7:$G$19,Schwierigkeitsstufen!$H$7:$H$19)))</f>
        <v/>
      </c>
      <c r="AD708" s="251" t="str">
        <f>IF((($A708="")*($B708=""))+((MID($Y708,1,4)&lt;&gt;"Wahl")*(Deckblatt!$C$14='WK-Vorlagen'!$C$82))+(Deckblatt!$C$14&lt;&gt;'WK-Vorlagen'!$C$82),"",IF(ISERROR(MATCH(VALUE(MID(J708,1,2)),Schwierigkeitsstufen!$G$7:$G$19,0)),"Gerät falsch",LOOKUP(VALUE(MID(J708,1,2)),Schwierigkeitsstufen!$G$7:$G$19,Schwierigkeitsstufen!$H$7:$H$19)))</f>
        <v/>
      </c>
      <c r="AE708" s="211"/>
      <c r="AG708" s="221" t="str">
        <f t="shared" ref="AG708:AG771" si="99">IF((C708&lt;&gt;0),IF(((Jahr-U708)&gt;19)*(AJ708=0)*(AK708&lt;&gt;1),"X",IF(((Jahr-U708)&gt;19)*(AJ708=0),"J","-")),"")</f>
        <v/>
      </c>
      <c r="AH708" s="222" t="str">
        <f t="shared" si="92"/>
        <v/>
      </c>
      <c r="AI708" s="220">
        <f t="shared" si="97"/>
        <v>4</v>
      </c>
      <c r="AJ708" s="222">
        <f t="shared" si="93"/>
        <v>0</v>
      </c>
      <c r="AK708" s="299" t="str">
        <f>IF(ISERROR(LOOKUP(E708,WKNrListe,Übersicht!$R$7:$R$46)),"-",LOOKUP(E708,WKNrListe,Übersicht!$R$7:$R$46))</f>
        <v>-</v>
      </c>
      <c r="AL708" s="299" t="str">
        <f t="shared" si="96"/>
        <v>-</v>
      </c>
      <c r="AM708" s="303"/>
      <c r="AN708" s="174" t="str">
        <f t="shared" si="98"/>
        <v>Leer</v>
      </c>
    </row>
    <row r="709" spans="1:40" s="174" customFormat="1" ht="15" customHeight="1">
      <c r="A709" s="63"/>
      <c r="B709" s="63"/>
      <c r="C709" s="84"/>
      <c r="D709" s="85"/>
      <c r="E709" s="62"/>
      <c r="F709" s="62"/>
      <c r="G709" s="62"/>
      <c r="H709" s="62"/>
      <c r="I709" s="62"/>
      <c r="J709" s="62"/>
      <c r="K709" s="62"/>
      <c r="L709" s="62"/>
      <c r="M709" s="62"/>
      <c r="N709" s="62"/>
      <c r="O709" s="62"/>
      <c r="P709" s="62"/>
      <c r="Q709" s="62"/>
      <c r="R709" s="62"/>
      <c r="S709" s="258"/>
      <c r="T709" s="248" t="str">
        <f t="shared" si="94"/>
        <v/>
      </c>
      <c r="U709" s="249" t="str">
        <f t="shared" si="95"/>
        <v/>
      </c>
      <c r="V709" s="294" t="str">
        <f t="shared" ref="V709:V772" si="100">IF(((AK709="-")*(F709=""))+((AK709=1)*(F709&lt;&gt;""))+(Y709="WK falsch"),"",IF((AK709=1)*(F709=""),"Mannsch-Nr fehlt","Mannsch-Nr entf"))</f>
        <v/>
      </c>
      <c r="W709" s="294" t="str">
        <f>IF(((E709="")+(F709="")),"",IF(VLOOKUP(F709,Mannschaften!$A$1:$B$54,2,FALSE)&lt;&gt;E709,"Reiter Mannschaften füllen",""))</f>
        <v/>
      </c>
      <c r="X709" s="248" t="str">
        <f>IF(ISBLANK(C709),"",IF((U709&gt;(LOOKUP(E709,WKNrListe,Übersicht!$O$7:$O$46)))+(U709&lt;(LOOKUP(E709,WKNrListe,Übersicht!$P$7:$P$46))),"JG falsch",""))</f>
        <v/>
      </c>
      <c r="Y709" s="255" t="str">
        <f>IF((A709="")*(B709=""),"",IF(ISERROR(MATCH(E709,WKNrListe,0)),"WK falsch",LOOKUP(E709,WKNrListe,Übersicht!$B$7:$B$46)))</f>
        <v/>
      </c>
      <c r="Z709" s="269" t="str">
        <f>IF(((AJ709=0)*(AH709&lt;&gt;"")*(AK709="-"))+((AJ709&lt;&gt;0)*(AH709&lt;&gt;"")*(AK709="-")),IF(AG709="X",Übersicht!$C$70,Übersicht!$C$69),"-")</f>
        <v>-</v>
      </c>
      <c r="AA709" s="252" t="str">
        <f>IF((($A709="")*($B709=""))+((MID($Y709,1,4)&lt;&gt;"Wahl")*(Deckblatt!$C$14='WK-Vorlagen'!$C$82))+(Deckblatt!$C$14&lt;&gt;'WK-Vorlagen'!$C$82),"",IF(ISERROR(MATCH(VALUE(MID(G709,1,2)),Schwierigkeitsstufen!$G$7:$G$19,0)),"Gerät falsch",LOOKUP(VALUE(MID(G709,1,2)),Schwierigkeitsstufen!$G$7:$G$19,Schwierigkeitsstufen!$H$7:$H$19)))</f>
        <v/>
      </c>
      <c r="AB709" s="250" t="str">
        <f>IF((($A709="")*($B709=""))+((MID($Y709,1,4)&lt;&gt;"Wahl")*(Deckblatt!$C$14='WK-Vorlagen'!$C$82))+(Deckblatt!$C$14&lt;&gt;'WK-Vorlagen'!$C$82),"",IF(ISERROR(MATCH(VALUE(MID(H709,1,2)),Schwierigkeitsstufen!$G$7:$G$19,0)),"Gerät falsch",LOOKUP(VALUE(MID(H709,1,2)),Schwierigkeitsstufen!$G$7:$G$19,Schwierigkeitsstufen!$H$7:$H$19)))</f>
        <v/>
      </c>
      <c r="AC709" s="250" t="str">
        <f>IF((($A709="")*($B709=""))+((MID($Y709,1,4)&lt;&gt;"Wahl")*(Deckblatt!$C$14='WK-Vorlagen'!$C$82))+(Deckblatt!$C$14&lt;&gt;'WK-Vorlagen'!$C$82),"",IF(ISERROR(MATCH(VALUE(MID(I709,1,2)),Schwierigkeitsstufen!$G$7:$G$19,0)),"Gerät falsch",LOOKUP(VALUE(MID(I709,1,2)),Schwierigkeitsstufen!$G$7:$G$19,Schwierigkeitsstufen!$H$7:$H$19)))</f>
        <v/>
      </c>
      <c r="AD709" s="251" t="str">
        <f>IF((($A709="")*($B709=""))+((MID($Y709,1,4)&lt;&gt;"Wahl")*(Deckblatt!$C$14='WK-Vorlagen'!$C$82))+(Deckblatt!$C$14&lt;&gt;'WK-Vorlagen'!$C$82),"",IF(ISERROR(MATCH(VALUE(MID(J709,1,2)),Schwierigkeitsstufen!$G$7:$G$19,0)),"Gerät falsch",LOOKUP(VALUE(MID(J709,1,2)),Schwierigkeitsstufen!$G$7:$G$19,Schwierigkeitsstufen!$H$7:$H$19)))</f>
        <v/>
      </c>
      <c r="AE709" s="211"/>
      <c r="AG709" s="221" t="str">
        <f t="shared" si="99"/>
        <v/>
      </c>
      <c r="AH709" s="222" t="str">
        <f t="shared" ref="AH709:AH772" si="101">CONCATENATE(TRIM(A709),TRIM(B709),TRIM(C709))</f>
        <v/>
      </c>
      <c r="AI709" s="220">
        <f t="shared" si="97"/>
        <v>4</v>
      </c>
      <c r="AJ709" s="222">
        <f t="shared" ref="AJ709:AJ772" si="102">IF(AH709="",0,IF(ROW(AH709)=AI709,0,AI709))</f>
        <v>0</v>
      </c>
      <c r="AK709" s="299" t="str">
        <f>IF(ISERROR(LOOKUP(E709,WKNrListe,Übersicht!$R$7:$R$46)),"-",LOOKUP(E709,WKNrListe,Übersicht!$R$7:$R$46))</f>
        <v>-</v>
      </c>
      <c r="AL709" s="299" t="str">
        <f t="shared" si="96"/>
        <v>-</v>
      </c>
      <c r="AM709" s="303"/>
      <c r="AN709" s="174" t="str">
        <f t="shared" si="98"/>
        <v>Leer</v>
      </c>
    </row>
    <row r="710" spans="1:40" s="174" customFormat="1" ht="15" customHeight="1">
      <c r="A710" s="63"/>
      <c r="B710" s="63"/>
      <c r="C710" s="84"/>
      <c r="D710" s="85"/>
      <c r="E710" s="62"/>
      <c r="F710" s="62"/>
      <c r="G710" s="62"/>
      <c r="H710" s="62"/>
      <c r="I710" s="62"/>
      <c r="J710" s="62"/>
      <c r="K710" s="62"/>
      <c r="L710" s="62"/>
      <c r="M710" s="62"/>
      <c r="N710" s="62"/>
      <c r="O710" s="62"/>
      <c r="P710" s="62"/>
      <c r="Q710" s="62"/>
      <c r="R710" s="62"/>
      <c r="S710" s="258"/>
      <c r="T710" s="248" t="str">
        <f t="shared" ref="T710:T773" si="103">IF(AND(OR(ISTEXT(A710),ISTEXT(B710),NOT(ISBLANK(C710)),NOT(ISBLANK(D710)),NOT(ISBLANK(E710))),OR(ISBLANK(A710),ISBLANK(B710),ISBLANK(C710),ISBLANK(E710))),"unvollständig","")</f>
        <v/>
      </c>
      <c r="U710" s="249" t="str">
        <f t="shared" ref="U710:U773" si="104">IF(ISBLANK(C710),"",YEAR(C710))</f>
        <v/>
      </c>
      <c r="V710" s="294" t="str">
        <f t="shared" si="100"/>
        <v/>
      </c>
      <c r="W710" s="294" t="str">
        <f>IF(((E710="")+(F710="")),"",IF(VLOOKUP(F710,Mannschaften!$A$1:$B$54,2,FALSE)&lt;&gt;E710,"Reiter Mannschaften füllen",""))</f>
        <v/>
      </c>
      <c r="X710" s="248" t="str">
        <f>IF(ISBLANK(C710),"",IF((U710&gt;(LOOKUP(E710,WKNrListe,Übersicht!$O$7:$O$46)))+(U710&lt;(LOOKUP(E710,WKNrListe,Übersicht!$P$7:$P$46))),"JG falsch",""))</f>
        <v/>
      </c>
      <c r="Y710" s="255" t="str">
        <f>IF((A710="")*(B710=""),"",IF(ISERROR(MATCH(E710,WKNrListe,0)),"WK falsch",LOOKUP(E710,WKNrListe,Übersicht!$B$7:$B$46)))</f>
        <v/>
      </c>
      <c r="Z710" s="269" t="str">
        <f>IF(((AJ710=0)*(AH710&lt;&gt;"")*(AK710="-"))+((AJ710&lt;&gt;0)*(AH710&lt;&gt;"")*(AK710="-")),IF(AG710="X",Übersicht!$C$70,Übersicht!$C$69),"-")</f>
        <v>-</v>
      </c>
      <c r="AA710" s="252" t="str">
        <f>IF((($A710="")*($B710=""))+((MID($Y710,1,4)&lt;&gt;"Wahl")*(Deckblatt!$C$14='WK-Vorlagen'!$C$82))+(Deckblatt!$C$14&lt;&gt;'WK-Vorlagen'!$C$82),"",IF(ISERROR(MATCH(VALUE(MID(G710,1,2)),Schwierigkeitsstufen!$G$7:$G$19,0)),"Gerät falsch",LOOKUP(VALUE(MID(G710,1,2)),Schwierigkeitsstufen!$G$7:$G$19,Schwierigkeitsstufen!$H$7:$H$19)))</f>
        <v/>
      </c>
      <c r="AB710" s="250" t="str">
        <f>IF((($A710="")*($B710=""))+((MID($Y710,1,4)&lt;&gt;"Wahl")*(Deckblatt!$C$14='WK-Vorlagen'!$C$82))+(Deckblatt!$C$14&lt;&gt;'WK-Vorlagen'!$C$82),"",IF(ISERROR(MATCH(VALUE(MID(H710,1,2)),Schwierigkeitsstufen!$G$7:$G$19,0)),"Gerät falsch",LOOKUP(VALUE(MID(H710,1,2)),Schwierigkeitsstufen!$G$7:$G$19,Schwierigkeitsstufen!$H$7:$H$19)))</f>
        <v/>
      </c>
      <c r="AC710" s="250" t="str">
        <f>IF((($A710="")*($B710=""))+((MID($Y710,1,4)&lt;&gt;"Wahl")*(Deckblatt!$C$14='WK-Vorlagen'!$C$82))+(Deckblatt!$C$14&lt;&gt;'WK-Vorlagen'!$C$82),"",IF(ISERROR(MATCH(VALUE(MID(I710,1,2)),Schwierigkeitsstufen!$G$7:$G$19,0)),"Gerät falsch",LOOKUP(VALUE(MID(I710,1,2)),Schwierigkeitsstufen!$G$7:$G$19,Schwierigkeitsstufen!$H$7:$H$19)))</f>
        <v/>
      </c>
      <c r="AD710" s="251" t="str">
        <f>IF((($A710="")*($B710=""))+((MID($Y710,1,4)&lt;&gt;"Wahl")*(Deckblatt!$C$14='WK-Vorlagen'!$C$82))+(Deckblatt!$C$14&lt;&gt;'WK-Vorlagen'!$C$82),"",IF(ISERROR(MATCH(VALUE(MID(J710,1,2)),Schwierigkeitsstufen!$G$7:$G$19,0)),"Gerät falsch",LOOKUP(VALUE(MID(J710,1,2)),Schwierigkeitsstufen!$G$7:$G$19,Schwierigkeitsstufen!$H$7:$H$19)))</f>
        <v/>
      </c>
      <c r="AE710" s="211"/>
      <c r="AG710" s="221" t="str">
        <f t="shared" si="99"/>
        <v/>
      </c>
      <c r="AH710" s="222" t="str">
        <f t="shared" si="101"/>
        <v/>
      </c>
      <c r="AI710" s="220">
        <f t="shared" si="97"/>
        <v>4</v>
      </c>
      <c r="AJ710" s="222">
        <f t="shared" si="102"/>
        <v>0</v>
      </c>
      <c r="AK710" s="299" t="str">
        <f>IF(ISERROR(LOOKUP(E710,WKNrListe,Übersicht!$R$7:$R$46)),"-",LOOKUP(E710,WKNrListe,Übersicht!$R$7:$R$46))</f>
        <v>-</v>
      </c>
      <c r="AL710" s="299" t="str">
        <f t="shared" ref="AL710:AL773" si="105">IF(E710="","-",E710)</f>
        <v>-</v>
      </c>
      <c r="AM710" s="303"/>
      <c r="AN710" s="174" t="str">
        <f t="shared" si="98"/>
        <v>Leer</v>
      </c>
    </row>
    <row r="711" spans="1:40" s="174" customFormat="1" ht="15" customHeight="1">
      <c r="A711" s="63"/>
      <c r="B711" s="63"/>
      <c r="C711" s="84"/>
      <c r="D711" s="85"/>
      <c r="E711" s="62"/>
      <c r="F711" s="62"/>
      <c r="G711" s="62"/>
      <c r="H711" s="62"/>
      <c r="I711" s="62"/>
      <c r="J711" s="62"/>
      <c r="K711" s="62"/>
      <c r="L711" s="62"/>
      <c r="M711" s="62"/>
      <c r="N711" s="62"/>
      <c r="O711" s="62"/>
      <c r="P711" s="62"/>
      <c r="Q711" s="62"/>
      <c r="R711" s="62"/>
      <c r="S711" s="258"/>
      <c r="T711" s="248" t="str">
        <f t="shared" si="103"/>
        <v/>
      </c>
      <c r="U711" s="249" t="str">
        <f t="shared" si="104"/>
        <v/>
      </c>
      <c r="V711" s="294" t="str">
        <f t="shared" si="100"/>
        <v/>
      </c>
      <c r="W711" s="294" t="str">
        <f>IF(((E711="")+(F711="")),"",IF(VLOOKUP(F711,Mannschaften!$A$1:$B$54,2,FALSE)&lt;&gt;E711,"Reiter Mannschaften füllen",""))</f>
        <v/>
      </c>
      <c r="X711" s="248" t="str">
        <f>IF(ISBLANK(C711),"",IF((U711&gt;(LOOKUP(E711,WKNrListe,Übersicht!$O$7:$O$46)))+(U711&lt;(LOOKUP(E711,WKNrListe,Übersicht!$P$7:$P$46))),"JG falsch",""))</f>
        <v/>
      </c>
      <c r="Y711" s="255" t="str">
        <f>IF((A711="")*(B711=""),"",IF(ISERROR(MATCH(E711,WKNrListe,0)),"WK falsch",LOOKUP(E711,WKNrListe,Übersicht!$B$7:$B$46)))</f>
        <v/>
      </c>
      <c r="Z711" s="269" t="str">
        <f>IF(((AJ711=0)*(AH711&lt;&gt;"")*(AK711="-"))+((AJ711&lt;&gt;0)*(AH711&lt;&gt;"")*(AK711="-")),IF(AG711="X",Übersicht!$C$70,Übersicht!$C$69),"-")</f>
        <v>-</v>
      </c>
      <c r="AA711" s="252" t="str">
        <f>IF((($A711="")*($B711=""))+((MID($Y711,1,4)&lt;&gt;"Wahl")*(Deckblatt!$C$14='WK-Vorlagen'!$C$82))+(Deckblatt!$C$14&lt;&gt;'WK-Vorlagen'!$C$82),"",IF(ISERROR(MATCH(VALUE(MID(G711,1,2)),Schwierigkeitsstufen!$G$7:$G$19,0)),"Gerät falsch",LOOKUP(VALUE(MID(G711,1,2)),Schwierigkeitsstufen!$G$7:$G$19,Schwierigkeitsstufen!$H$7:$H$19)))</f>
        <v/>
      </c>
      <c r="AB711" s="250" t="str">
        <f>IF((($A711="")*($B711=""))+((MID($Y711,1,4)&lt;&gt;"Wahl")*(Deckblatt!$C$14='WK-Vorlagen'!$C$82))+(Deckblatt!$C$14&lt;&gt;'WK-Vorlagen'!$C$82),"",IF(ISERROR(MATCH(VALUE(MID(H711,1,2)),Schwierigkeitsstufen!$G$7:$G$19,0)),"Gerät falsch",LOOKUP(VALUE(MID(H711,1,2)),Schwierigkeitsstufen!$G$7:$G$19,Schwierigkeitsstufen!$H$7:$H$19)))</f>
        <v/>
      </c>
      <c r="AC711" s="250" t="str">
        <f>IF((($A711="")*($B711=""))+((MID($Y711,1,4)&lt;&gt;"Wahl")*(Deckblatt!$C$14='WK-Vorlagen'!$C$82))+(Deckblatt!$C$14&lt;&gt;'WK-Vorlagen'!$C$82),"",IF(ISERROR(MATCH(VALUE(MID(I711,1,2)),Schwierigkeitsstufen!$G$7:$G$19,0)),"Gerät falsch",LOOKUP(VALUE(MID(I711,1,2)),Schwierigkeitsstufen!$G$7:$G$19,Schwierigkeitsstufen!$H$7:$H$19)))</f>
        <v/>
      </c>
      <c r="AD711" s="251" t="str">
        <f>IF((($A711="")*($B711=""))+((MID($Y711,1,4)&lt;&gt;"Wahl")*(Deckblatt!$C$14='WK-Vorlagen'!$C$82))+(Deckblatt!$C$14&lt;&gt;'WK-Vorlagen'!$C$82),"",IF(ISERROR(MATCH(VALUE(MID(J711,1,2)),Schwierigkeitsstufen!$G$7:$G$19,0)),"Gerät falsch",LOOKUP(VALUE(MID(J711,1,2)),Schwierigkeitsstufen!$G$7:$G$19,Schwierigkeitsstufen!$H$7:$H$19)))</f>
        <v/>
      </c>
      <c r="AE711" s="211"/>
      <c r="AG711" s="221" t="str">
        <f t="shared" si="99"/>
        <v/>
      </c>
      <c r="AH711" s="222" t="str">
        <f t="shared" si="101"/>
        <v/>
      </c>
      <c r="AI711" s="220">
        <f t="shared" ref="AI711:AI774" si="106">MATCH(AH711,AH:AH,0)</f>
        <v>4</v>
      </c>
      <c r="AJ711" s="222">
        <f t="shared" si="102"/>
        <v>0</v>
      </c>
      <c r="AK711" s="299" t="str">
        <f>IF(ISERROR(LOOKUP(E711,WKNrListe,Übersicht!$R$7:$R$46)),"-",LOOKUP(E711,WKNrListe,Übersicht!$R$7:$R$46))</f>
        <v>-</v>
      </c>
      <c r="AL711" s="299" t="str">
        <f t="shared" si="105"/>
        <v>-</v>
      </c>
      <c r="AM711" s="303"/>
      <c r="AN711" s="174" t="str">
        <f t="shared" si="98"/>
        <v>Leer</v>
      </c>
    </row>
    <row r="712" spans="1:40" s="174" customFormat="1" ht="15" customHeight="1">
      <c r="A712" s="63"/>
      <c r="B712" s="63"/>
      <c r="C712" s="84"/>
      <c r="D712" s="85"/>
      <c r="E712" s="62"/>
      <c r="F712" s="62"/>
      <c r="G712" s="62"/>
      <c r="H712" s="62"/>
      <c r="I712" s="62"/>
      <c r="J712" s="62"/>
      <c r="K712" s="62"/>
      <c r="L712" s="62"/>
      <c r="M712" s="62"/>
      <c r="N712" s="62"/>
      <c r="O712" s="62"/>
      <c r="P712" s="62"/>
      <c r="Q712" s="62"/>
      <c r="R712" s="62"/>
      <c r="S712" s="258"/>
      <c r="T712" s="248" t="str">
        <f t="shared" si="103"/>
        <v/>
      </c>
      <c r="U712" s="249" t="str">
        <f t="shared" si="104"/>
        <v/>
      </c>
      <c r="V712" s="294" t="str">
        <f t="shared" si="100"/>
        <v/>
      </c>
      <c r="W712" s="294" t="str">
        <f>IF(((E712="")+(F712="")),"",IF(VLOOKUP(F712,Mannschaften!$A$1:$B$54,2,FALSE)&lt;&gt;E712,"Reiter Mannschaften füllen",""))</f>
        <v/>
      </c>
      <c r="X712" s="248" t="str">
        <f>IF(ISBLANK(C712),"",IF((U712&gt;(LOOKUP(E712,WKNrListe,Übersicht!$O$7:$O$46)))+(U712&lt;(LOOKUP(E712,WKNrListe,Übersicht!$P$7:$P$46))),"JG falsch",""))</f>
        <v/>
      </c>
      <c r="Y712" s="255" t="str">
        <f>IF((A712="")*(B712=""),"",IF(ISERROR(MATCH(E712,WKNrListe,0)),"WK falsch",LOOKUP(E712,WKNrListe,Übersicht!$B$7:$B$46)))</f>
        <v/>
      </c>
      <c r="Z712" s="269" t="str">
        <f>IF(((AJ712=0)*(AH712&lt;&gt;"")*(AK712="-"))+((AJ712&lt;&gt;0)*(AH712&lt;&gt;"")*(AK712="-")),IF(AG712="X",Übersicht!$C$70,Übersicht!$C$69),"-")</f>
        <v>-</v>
      </c>
      <c r="AA712" s="252" t="str">
        <f>IF((($A712="")*($B712=""))+((MID($Y712,1,4)&lt;&gt;"Wahl")*(Deckblatt!$C$14='WK-Vorlagen'!$C$82))+(Deckblatt!$C$14&lt;&gt;'WK-Vorlagen'!$C$82),"",IF(ISERROR(MATCH(VALUE(MID(G712,1,2)),Schwierigkeitsstufen!$G$7:$G$19,0)),"Gerät falsch",LOOKUP(VALUE(MID(G712,1,2)),Schwierigkeitsstufen!$G$7:$G$19,Schwierigkeitsstufen!$H$7:$H$19)))</f>
        <v/>
      </c>
      <c r="AB712" s="250" t="str">
        <f>IF((($A712="")*($B712=""))+((MID($Y712,1,4)&lt;&gt;"Wahl")*(Deckblatt!$C$14='WK-Vorlagen'!$C$82))+(Deckblatt!$C$14&lt;&gt;'WK-Vorlagen'!$C$82),"",IF(ISERROR(MATCH(VALUE(MID(H712,1,2)),Schwierigkeitsstufen!$G$7:$G$19,0)),"Gerät falsch",LOOKUP(VALUE(MID(H712,1,2)),Schwierigkeitsstufen!$G$7:$G$19,Schwierigkeitsstufen!$H$7:$H$19)))</f>
        <v/>
      </c>
      <c r="AC712" s="250" t="str">
        <f>IF((($A712="")*($B712=""))+((MID($Y712,1,4)&lt;&gt;"Wahl")*(Deckblatt!$C$14='WK-Vorlagen'!$C$82))+(Deckblatt!$C$14&lt;&gt;'WK-Vorlagen'!$C$82),"",IF(ISERROR(MATCH(VALUE(MID(I712,1,2)),Schwierigkeitsstufen!$G$7:$G$19,0)),"Gerät falsch",LOOKUP(VALUE(MID(I712,1,2)),Schwierigkeitsstufen!$G$7:$G$19,Schwierigkeitsstufen!$H$7:$H$19)))</f>
        <v/>
      </c>
      <c r="AD712" s="251" t="str">
        <f>IF((($A712="")*($B712=""))+((MID($Y712,1,4)&lt;&gt;"Wahl")*(Deckblatt!$C$14='WK-Vorlagen'!$C$82))+(Deckblatt!$C$14&lt;&gt;'WK-Vorlagen'!$C$82),"",IF(ISERROR(MATCH(VALUE(MID(J712,1,2)),Schwierigkeitsstufen!$G$7:$G$19,0)),"Gerät falsch",LOOKUP(VALUE(MID(J712,1,2)),Schwierigkeitsstufen!$G$7:$G$19,Schwierigkeitsstufen!$H$7:$H$19)))</f>
        <v/>
      </c>
      <c r="AE712" s="211"/>
      <c r="AG712" s="221" t="str">
        <f t="shared" si="99"/>
        <v/>
      </c>
      <c r="AH712" s="222" t="str">
        <f t="shared" si="101"/>
        <v/>
      </c>
      <c r="AI712" s="220">
        <f t="shared" si="106"/>
        <v>4</v>
      </c>
      <c r="AJ712" s="222">
        <f t="shared" si="102"/>
        <v>0</v>
      </c>
      <c r="AK712" s="299" t="str">
        <f>IF(ISERROR(LOOKUP(E712,WKNrListe,Übersicht!$R$7:$R$46)),"-",LOOKUP(E712,WKNrListe,Übersicht!$R$7:$R$46))</f>
        <v>-</v>
      </c>
      <c r="AL712" s="299" t="str">
        <f t="shared" si="105"/>
        <v>-</v>
      </c>
      <c r="AM712" s="303"/>
      <c r="AN712" s="174" t="str">
        <f t="shared" si="98"/>
        <v>Leer</v>
      </c>
    </row>
    <row r="713" spans="1:40" s="174" customFormat="1" ht="15" customHeight="1">
      <c r="A713" s="63"/>
      <c r="B713" s="63"/>
      <c r="C713" s="84"/>
      <c r="D713" s="85"/>
      <c r="E713" s="62"/>
      <c r="F713" s="62"/>
      <c r="G713" s="62"/>
      <c r="H713" s="62"/>
      <c r="I713" s="62"/>
      <c r="J713" s="62"/>
      <c r="K713" s="62"/>
      <c r="L713" s="62"/>
      <c r="M713" s="62"/>
      <c r="N713" s="62"/>
      <c r="O713" s="62"/>
      <c r="P713" s="62"/>
      <c r="Q713" s="62"/>
      <c r="R713" s="62"/>
      <c r="S713" s="258"/>
      <c r="T713" s="248" t="str">
        <f t="shared" si="103"/>
        <v/>
      </c>
      <c r="U713" s="249" t="str">
        <f t="shared" si="104"/>
        <v/>
      </c>
      <c r="V713" s="294" t="str">
        <f t="shared" si="100"/>
        <v/>
      </c>
      <c r="W713" s="294" t="str">
        <f>IF(((E713="")+(F713="")),"",IF(VLOOKUP(F713,Mannschaften!$A$1:$B$54,2,FALSE)&lt;&gt;E713,"Reiter Mannschaften füllen",""))</f>
        <v/>
      </c>
      <c r="X713" s="248" t="str">
        <f>IF(ISBLANK(C713),"",IF((U713&gt;(LOOKUP(E713,WKNrListe,Übersicht!$O$7:$O$46)))+(U713&lt;(LOOKUP(E713,WKNrListe,Übersicht!$P$7:$P$46))),"JG falsch",""))</f>
        <v/>
      </c>
      <c r="Y713" s="255" t="str">
        <f>IF((A713="")*(B713=""),"",IF(ISERROR(MATCH(E713,WKNrListe,0)),"WK falsch",LOOKUP(E713,WKNrListe,Übersicht!$B$7:$B$46)))</f>
        <v/>
      </c>
      <c r="Z713" s="269" t="str">
        <f>IF(((AJ713=0)*(AH713&lt;&gt;"")*(AK713="-"))+((AJ713&lt;&gt;0)*(AH713&lt;&gt;"")*(AK713="-")),IF(AG713="X",Übersicht!$C$70,Übersicht!$C$69),"-")</f>
        <v>-</v>
      </c>
      <c r="AA713" s="252" t="str">
        <f>IF((($A713="")*($B713=""))+((MID($Y713,1,4)&lt;&gt;"Wahl")*(Deckblatt!$C$14='WK-Vorlagen'!$C$82))+(Deckblatt!$C$14&lt;&gt;'WK-Vorlagen'!$C$82),"",IF(ISERROR(MATCH(VALUE(MID(G713,1,2)),Schwierigkeitsstufen!$G$7:$G$19,0)),"Gerät falsch",LOOKUP(VALUE(MID(G713,1,2)),Schwierigkeitsstufen!$G$7:$G$19,Schwierigkeitsstufen!$H$7:$H$19)))</f>
        <v/>
      </c>
      <c r="AB713" s="250" t="str">
        <f>IF((($A713="")*($B713=""))+((MID($Y713,1,4)&lt;&gt;"Wahl")*(Deckblatt!$C$14='WK-Vorlagen'!$C$82))+(Deckblatt!$C$14&lt;&gt;'WK-Vorlagen'!$C$82),"",IF(ISERROR(MATCH(VALUE(MID(H713,1,2)),Schwierigkeitsstufen!$G$7:$G$19,0)),"Gerät falsch",LOOKUP(VALUE(MID(H713,1,2)),Schwierigkeitsstufen!$G$7:$G$19,Schwierigkeitsstufen!$H$7:$H$19)))</f>
        <v/>
      </c>
      <c r="AC713" s="250" t="str">
        <f>IF((($A713="")*($B713=""))+((MID($Y713,1,4)&lt;&gt;"Wahl")*(Deckblatt!$C$14='WK-Vorlagen'!$C$82))+(Deckblatt!$C$14&lt;&gt;'WK-Vorlagen'!$C$82),"",IF(ISERROR(MATCH(VALUE(MID(I713,1,2)),Schwierigkeitsstufen!$G$7:$G$19,0)),"Gerät falsch",LOOKUP(VALUE(MID(I713,1,2)),Schwierigkeitsstufen!$G$7:$G$19,Schwierigkeitsstufen!$H$7:$H$19)))</f>
        <v/>
      </c>
      <c r="AD713" s="251" t="str">
        <f>IF((($A713="")*($B713=""))+((MID($Y713,1,4)&lt;&gt;"Wahl")*(Deckblatt!$C$14='WK-Vorlagen'!$C$82))+(Deckblatt!$C$14&lt;&gt;'WK-Vorlagen'!$C$82),"",IF(ISERROR(MATCH(VALUE(MID(J713,1,2)),Schwierigkeitsstufen!$G$7:$G$19,0)),"Gerät falsch",LOOKUP(VALUE(MID(J713,1,2)),Schwierigkeitsstufen!$G$7:$G$19,Schwierigkeitsstufen!$H$7:$H$19)))</f>
        <v/>
      </c>
      <c r="AE713" s="211"/>
      <c r="AG713" s="221" t="str">
        <f t="shared" si="99"/>
        <v/>
      </c>
      <c r="AH713" s="222" t="str">
        <f t="shared" si="101"/>
        <v/>
      </c>
      <c r="AI713" s="220">
        <f t="shared" si="106"/>
        <v>4</v>
      </c>
      <c r="AJ713" s="222">
        <f t="shared" si="102"/>
        <v>0</v>
      </c>
      <c r="AK713" s="299" t="str">
        <f>IF(ISERROR(LOOKUP(E713,WKNrListe,Übersicht!$R$7:$R$46)),"-",LOOKUP(E713,WKNrListe,Übersicht!$R$7:$R$46))</f>
        <v>-</v>
      </c>
      <c r="AL713" s="299" t="str">
        <f t="shared" si="105"/>
        <v>-</v>
      </c>
      <c r="AM713" s="303"/>
      <c r="AN713" s="174" t="str">
        <f t="shared" si="98"/>
        <v>Leer</v>
      </c>
    </row>
    <row r="714" spans="1:40" s="174" customFormat="1" ht="15" customHeight="1">
      <c r="A714" s="63"/>
      <c r="B714" s="63"/>
      <c r="C714" s="84"/>
      <c r="D714" s="85"/>
      <c r="E714" s="62"/>
      <c r="F714" s="62"/>
      <c r="G714" s="62"/>
      <c r="H714" s="62"/>
      <c r="I714" s="62"/>
      <c r="J714" s="62"/>
      <c r="K714" s="62"/>
      <c r="L714" s="62"/>
      <c r="M714" s="62"/>
      <c r="N714" s="62"/>
      <c r="O714" s="62"/>
      <c r="P714" s="62"/>
      <c r="Q714" s="62"/>
      <c r="R714" s="62"/>
      <c r="S714" s="258"/>
      <c r="T714" s="248" t="str">
        <f t="shared" si="103"/>
        <v/>
      </c>
      <c r="U714" s="249" t="str">
        <f t="shared" si="104"/>
        <v/>
      </c>
      <c r="V714" s="294" t="str">
        <f t="shared" si="100"/>
        <v/>
      </c>
      <c r="W714" s="294" t="str">
        <f>IF(((E714="")+(F714="")),"",IF(VLOOKUP(F714,Mannschaften!$A$1:$B$54,2,FALSE)&lt;&gt;E714,"Reiter Mannschaften füllen",""))</f>
        <v/>
      </c>
      <c r="X714" s="248" t="str">
        <f>IF(ISBLANK(C714),"",IF((U714&gt;(LOOKUP(E714,WKNrListe,Übersicht!$O$7:$O$46)))+(U714&lt;(LOOKUP(E714,WKNrListe,Übersicht!$P$7:$P$46))),"JG falsch",""))</f>
        <v/>
      </c>
      <c r="Y714" s="255" t="str">
        <f>IF((A714="")*(B714=""),"",IF(ISERROR(MATCH(E714,WKNrListe,0)),"WK falsch",LOOKUP(E714,WKNrListe,Übersicht!$B$7:$B$46)))</f>
        <v/>
      </c>
      <c r="Z714" s="269" t="str">
        <f>IF(((AJ714=0)*(AH714&lt;&gt;"")*(AK714="-"))+((AJ714&lt;&gt;0)*(AH714&lt;&gt;"")*(AK714="-")),IF(AG714="X",Übersicht!$C$70,Übersicht!$C$69),"-")</f>
        <v>-</v>
      </c>
      <c r="AA714" s="252" t="str">
        <f>IF((($A714="")*($B714=""))+((MID($Y714,1,4)&lt;&gt;"Wahl")*(Deckblatt!$C$14='WK-Vorlagen'!$C$82))+(Deckblatt!$C$14&lt;&gt;'WK-Vorlagen'!$C$82),"",IF(ISERROR(MATCH(VALUE(MID(G714,1,2)),Schwierigkeitsstufen!$G$7:$G$19,0)),"Gerät falsch",LOOKUP(VALUE(MID(G714,1,2)),Schwierigkeitsstufen!$G$7:$G$19,Schwierigkeitsstufen!$H$7:$H$19)))</f>
        <v/>
      </c>
      <c r="AB714" s="250" t="str">
        <f>IF((($A714="")*($B714=""))+((MID($Y714,1,4)&lt;&gt;"Wahl")*(Deckblatt!$C$14='WK-Vorlagen'!$C$82))+(Deckblatt!$C$14&lt;&gt;'WK-Vorlagen'!$C$82),"",IF(ISERROR(MATCH(VALUE(MID(H714,1,2)),Schwierigkeitsstufen!$G$7:$G$19,0)),"Gerät falsch",LOOKUP(VALUE(MID(H714,1,2)),Schwierigkeitsstufen!$G$7:$G$19,Schwierigkeitsstufen!$H$7:$H$19)))</f>
        <v/>
      </c>
      <c r="AC714" s="250" t="str">
        <f>IF((($A714="")*($B714=""))+((MID($Y714,1,4)&lt;&gt;"Wahl")*(Deckblatt!$C$14='WK-Vorlagen'!$C$82))+(Deckblatt!$C$14&lt;&gt;'WK-Vorlagen'!$C$82),"",IF(ISERROR(MATCH(VALUE(MID(I714,1,2)),Schwierigkeitsstufen!$G$7:$G$19,0)),"Gerät falsch",LOOKUP(VALUE(MID(I714,1,2)),Schwierigkeitsstufen!$G$7:$G$19,Schwierigkeitsstufen!$H$7:$H$19)))</f>
        <v/>
      </c>
      <c r="AD714" s="251" t="str">
        <f>IF((($A714="")*($B714=""))+((MID($Y714,1,4)&lt;&gt;"Wahl")*(Deckblatt!$C$14='WK-Vorlagen'!$C$82))+(Deckblatt!$C$14&lt;&gt;'WK-Vorlagen'!$C$82),"",IF(ISERROR(MATCH(VALUE(MID(J714,1,2)),Schwierigkeitsstufen!$G$7:$G$19,0)),"Gerät falsch",LOOKUP(VALUE(MID(J714,1,2)),Schwierigkeitsstufen!$G$7:$G$19,Schwierigkeitsstufen!$H$7:$H$19)))</f>
        <v/>
      </c>
      <c r="AE714" s="211"/>
      <c r="AG714" s="221" t="str">
        <f t="shared" si="99"/>
        <v/>
      </c>
      <c r="AH714" s="222" t="str">
        <f t="shared" si="101"/>
        <v/>
      </c>
      <c r="AI714" s="220">
        <f t="shared" si="106"/>
        <v>4</v>
      </c>
      <c r="AJ714" s="222">
        <f t="shared" si="102"/>
        <v>0</v>
      </c>
      <c r="AK714" s="299" t="str">
        <f>IF(ISERROR(LOOKUP(E714,WKNrListe,Übersicht!$R$7:$R$46)),"-",LOOKUP(E714,WKNrListe,Übersicht!$R$7:$R$46))</f>
        <v>-</v>
      </c>
      <c r="AL714" s="299" t="str">
        <f t="shared" si="105"/>
        <v>-</v>
      </c>
      <c r="AM714" s="303"/>
      <c r="AN714" s="174" t="str">
        <f t="shared" si="98"/>
        <v>Leer</v>
      </c>
    </row>
    <row r="715" spans="1:40" s="174" customFormat="1" ht="15" customHeight="1">
      <c r="A715" s="63"/>
      <c r="B715" s="63"/>
      <c r="C715" s="84"/>
      <c r="D715" s="85"/>
      <c r="E715" s="62"/>
      <c r="F715" s="62"/>
      <c r="G715" s="62"/>
      <c r="H715" s="62"/>
      <c r="I715" s="62"/>
      <c r="J715" s="62"/>
      <c r="K715" s="62"/>
      <c r="L715" s="62"/>
      <c r="M715" s="62"/>
      <c r="N715" s="62"/>
      <c r="O715" s="62"/>
      <c r="P715" s="62"/>
      <c r="Q715" s="62"/>
      <c r="R715" s="62"/>
      <c r="S715" s="258"/>
      <c r="T715" s="248" t="str">
        <f t="shared" si="103"/>
        <v/>
      </c>
      <c r="U715" s="249" t="str">
        <f t="shared" si="104"/>
        <v/>
      </c>
      <c r="V715" s="294" t="str">
        <f t="shared" si="100"/>
        <v/>
      </c>
      <c r="W715" s="294" t="str">
        <f>IF(((E715="")+(F715="")),"",IF(VLOOKUP(F715,Mannschaften!$A$1:$B$54,2,FALSE)&lt;&gt;E715,"Reiter Mannschaften füllen",""))</f>
        <v/>
      </c>
      <c r="X715" s="248" t="str">
        <f>IF(ISBLANK(C715),"",IF((U715&gt;(LOOKUP(E715,WKNrListe,Übersicht!$O$7:$O$46)))+(U715&lt;(LOOKUP(E715,WKNrListe,Übersicht!$P$7:$P$46))),"JG falsch",""))</f>
        <v/>
      </c>
      <c r="Y715" s="255" t="str">
        <f>IF((A715="")*(B715=""),"",IF(ISERROR(MATCH(E715,WKNrListe,0)),"WK falsch",LOOKUP(E715,WKNrListe,Übersicht!$B$7:$B$46)))</f>
        <v/>
      </c>
      <c r="Z715" s="269" t="str">
        <f>IF(((AJ715=0)*(AH715&lt;&gt;"")*(AK715="-"))+((AJ715&lt;&gt;0)*(AH715&lt;&gt;"")*(AK715="-")),IF(AG715="X",Übersicht!$C$70,Übersicht!$C$69),"-")</f>
        <v>-</v>
      </c>
      <c r="AA715" s="252" t="str">
        <f>IF((($A715="")*($B715=""))+((MID($Y715,1,4)&lt;&gt;"Wahl")*(Deckblatt!$C$14='WK-Vorlagen'!$C$82))+(Deckblatt!$C$14&lt;&gt;'WK-Vorlagen'!$C$82),"",IF(ISERROR(MATCH(VALUE(MID(G715,1,2)),Schwierigkeitsstufen!$G$7:$G$19,0)),"Gerät falsch",LOOKUP(VALUE(MID(G715,1,2)),Schwierigkeitsstufen!$G$7:$G$19,Schwierigkeitsstufen!$H$7:$H$19)))</f>
        <v/>
      </c>
      <c r="AB715" s="250" t="str">
        <f>IF((($A715="")*($B715=""))+((MID($Y715,1,4)&lt;&gt;"Wahl")*(Deckblatt!$C$14='WK-Vorlagen'!$C$82))+(Deckblatt!$C$14&lt;&gt;'WK-Vorlagen'!$C$82),"",IF(ISERROR(MATCH(VALUE(MID(H715,1,2)),Schwierigkeitsstufen!$G$7:$G$19,0)),"Gerät falsch",LOOKUP(VALUE(MID(H715,1,2)),Schwierigkeitsstufen!$G$7:$G$19,Schwierigkeitsstufen!$H$7:$H$19)))</f>
        <v/>
      </c>
      <c r="AC715" s="250" t="str">
        <f>IF((($A715="")*($B715=""))+((MID($Y715,1,4)&lt;&gt;"Wahl")*(Deckblatt!$C$14='WK-Vorlagen'!$C$82))+(Deckblatt!$C$14&lt;&gt;'WK-Vorlagen'!$C$82),"",IF(ISERROR(MATCH(VALUE(MID(I715,1,2)),Schwierigkeitsstufen!$G$7:$G$19,0)),"Gerät falsch",LOOKUP(VALUE(MID(I715,1,2)),Schwierigkeitsstufen!$G$7:$G$19,Schwierigkeitsstufen!$H$7:$H$19)))</f>
        <v/>
      </c>
      <c r="AD715" s="251" t="str">
        <f>IF((($A715="")*($B715=""))+((MID($Y715,1,4)&lt;&gt;"Wahl")*(Deckblatt!$C$14='WK-Vorlagen'!$C$82))+(Deckblatt!$C$14&lt;&gt;'WK-Vorlagen'!$C$82),"",IF(ISERROR(MATCH(VALUE(MID(J715,1,2)),Schwierigkeitsstufen!$G$7:$G$19,0)),"Gerät falsch",LOOKUP(VALUE(MID(J715,1,2)),Schwierigkeitsstufen!$G$7:$G$19,Schwierigkeitsstufen!$H$7:$H$19)))</f>
        <v/>
      </c>
      <c r="AE715" s="211"/>
      <c r="AG715" s="221" t="str">
        <f t="shared" si="99"/>
        <v/>
      </c>
      <c r="AH715" s="222" t="str">
        <f t="shared" si="101"/>
        <v/>
      </c>
      <c r="AI715" s="220">
        <f t="shared" si="106"/>
        <v>4</v>
      </c>
      <c r="AJ715" s="222">
        <f t="shared" si="102"/>
        <v>0</v>
      </c>
      <c r="AK715" s="299" t="str">
        <f>IF(ISERROR(LOOKUP(E715,WKNrListe,Übersicht!$R$7:$R$46)),"-",LOOKUP(E715,WKNrListe,Übersicht!$R$7:$R$46))</f>
        <v>-</v>
      </c>
      <c r="AL715" s="299" t="str">
        <f t="shared" si="105"/>
        <v>-</v>
      </c>
      <c r="AM715" s="303"/>
      <c r="AN715" s="174" t="str">
        <f t="shared" si="98"/>
        <v>Leer</v>
      </c>
    </row>
    <row r="716" spans="1:40" s="174" customFormat="1" ht="15" customHeight="1">
      <c r="A716" s="63"/>
      <c r="B716" s="63"/>
      <c r="C716" s="84"/>
      <c r="D716" s="85"/>
      <c r="E716" s="62"/>
      <c r="F716" s="62"/>
      <c r="G716" s="62"/>
      <c r="H716" s="62"/>
      <c r="I716" s="62"/>
      <c r="J716" s="62"/>
      <c r="K716" s="62"/>
      <c r="L716" s="62"/>
      <c r="M716" s="62"/>
      <c r="N716" s="62"/>
      <c r="O716" s="62"/>
      <c r="P716" s="62"/>
      <c r="Q716" s="62"/>
      <c r="R716" s="62"/>
      <c r="S716" s="258"/>
      <c r="T716" s="248" t="str">
        <f t="shared" si="103"/>
        <v/>
      </c>
      <c r="U716" s="249" t="str">
        <f t="shared" si="104"/>
        <v/>
      </c>
      <c r="V716" s="294" t="str">
        <f t="shared" si="100"/>
        <v/>
      </c>
      <c r="W716" s="294" t="str">
        <f>IF(((E716="")+(F716="")),"",IF(VLOOKUP(F716,Mannschaften!$A$1:$B$54,2,FALSE)&lt;&gt;E716,"Reiter Mannschaften füllen",""))</f>
        <v/>
      </c>
      <c r="X716" s="248" t="str">
        <f>IF(ISBLANK(C716),"",IF((U716&gt;(LOOKUP(E716,WKNrListe,Übersicht!$O$7:$O$46)))+(U716&lt;(LOOKUP(E716,WKNrListe,Übersicht!$P$7:$P$46))),"JG falsch",""))</f>
        <v/>
      </c>
      <c r="Y716" s="255" t="str">
        <f>IF((A716="")*(B716=""),"",IF(ISERROR(MATCH(E716,WKNrListe,0)),"WK falsch",LOOKUP(E716,WKNrListe,Übersicht!$B$7:$B$46)))</f>
        <v/>
      </c>
      <c r="Z716" s="269" t="str">
        <f>IF(((AJ716=0)*(AH716&lt;&gt;"")*(AK716="-"))+((AJ716&lt;&gt;0)*(AH716&lt;&gt;"")*(AK716="-")),IF(AG716="X",Übersicht!$C$70,Übersicht!$C$69),"-")</f>
        <v>-</v>
      </c>
      <c r="AA716" s="252" t="str">
        <f>IF((($A716="")*($B716=""))+((MID($Y716,1,4)&lt;&gt;"Wahl")*(Deckblatt!$C$14='WK-Vorlagen'!$C$82))+(Deckblatt!$C$14&lt;&gt;'WK-Vorlagen'!$C$82),"",IF(ISERROR(MATCH(VALUE(MID(G716,1,2)),Schwierigkeitsstufen!$G$7:$G$19,0)),"Gerät falsch",LOOKUP(VALUE(MID(G716,1,2)),Schwierigkeitsstufen!$G$7:$G$19,Schwierigkeitsstufen!$H$7:$H$19)))</f>
        <v/>
      </c>
      <c r="AB716" s="250" t="str">
        <f>IF((($A716="")*($B716=""))+((MID($Y716,1,4)&lt;&gt;"Wahl")*(Deckblatt!$C$14='WK-Vorlagen'!$C$82))+(Deckblatt!$C$14&lt;&gt;'WK-Vorlagen'!$C$82),"",IF(ISERROR(MATCH(VALUE(MID(H716,1,2)),Schwierigkeitsstufen!$G$7:$G$19,0)),"Gerät falsch",LOOKUP(VALUE(MID(H716,1,2)),Schwierigkeitsstufen!$G$7:$G$19,Schwierigkeitsstufen!$H$7:$H$19)))</f>
        <v/>
      </c>
      <c r="AC716" s="250" t="str">
        <f>IF((($A716="")*($B716=""))+((MID($Y716,1,4)&lt;&gt;"Wahl")*(Deckblatt!$C$14='WK-Vorlagen'!$C$82))+(Deckblatt!$C$14&lt;&gt;'WK-Vorlagen'!$C$82),"",IF(ISERROR(MATCH(VALUE(MID(I716,1,2)),Schwierigkeitsstufen!$G$7:$G$19,0)),"Gerät falsch",LOOKUP(VALUE(MID(I716,1,2)),Schwierigkeitsstufen!$G$7:$G$19,Schwierigkeitsstufen!$H$7:$H$19)))</f>
        <v/>
      </c>
      <c r="AD716" s="251" t="str">
        <f>IF((($A716="")*($B716=""))+((MID($Y716,1,4)&lt;&gt;"Wahl")*(Deckblatt!$C$14='WK-Vorlagen'!$C$82))+(Deckblatt!$C$14&lt;&gt;'WK-Vorlagen'!$C$82),"",IF(ISERROR(MATCH(VALUE(MID(J716,1,2)),Schwierigkeitsstufen!$G$7:$G$19,0)),"Gerät falsch",LOOKUP(VALUE(MID(J716,1,2)),Schwierigkeitsstufen!$G$7:$G$19,Schwierigkeitsstufen!$H$7:$H$19)))</f>
        <v/>
      </c>
      <c r="AE716" s="211"/>
      <c r="AG716" s="221" t="str">
        <f t="shared" si="99"/>
        <v/>
      </c>
      <c r="AH716" s="222" t="str">
        <f t="shared" si="101"/>
        <v/>
      </c>
      <c r="AI716" s="220">
        <f t="shared" si="106"/>
        <v>4</v>
      </c>
      <c r="AJ716" s="222">
        <f t="shared" si="102"/>
        <v>0</v>
      </c>
      <c r="AK716" s="299" t="str">
        <f>IF(ISERROR(LOOKUP(E716,WKNrListe,Übersicht!$R$7:$R$46)),"-",LOOKUP(E716,WKNrListe,Übersicht!$R$7:$R$46))</f>
        <v>-</v>
      </c>
      <c r="AL716" s="299" t="str">
        <f t="shared" si="105"/>
        <v>-</v>
      </c>
      <c r="AM716" s="303"/>
      <c r="AN716" s="174" t="str">
        <f t="shared" si="98"/>
        <v>Leer</v>
      </c>
    </row>
    <row r="717" spans="1:40" s="174" customFormat="1" ht="15" customHeight="1">
      <c r="A717" s="63"/>
      <c r="B717" s="63"/>
      <c r="C717" s="84"/>
      <c r="D717" s="85"/>
      <c r="E717" s="62"/>
      <c r="F717" s="62"/>
      <c r="G717" s="62"/>
      <c r="H717" s="62"/>
      <c r="I717" s="62"/>
      <c r="J717" s="62"/>
      <c r="K717" s="62"/>
      <c r="L717" s="62"/>
      <c r="M717" s="62"/>
      <c r="N717" s="62"/>
      <c r="O717" s="62"/>
      <c r="P717" s="62"/>
      <c r="Q717" s="62"/>
      <c r="R717" s="62"/>
      <c r="S717" s="258"/>
      <c r="T717" s="248" t="str">
        <f t="shared" si="103"/>
        <v/>
      </c>
      <c r="U717" s="249" t="str">
        <f t="shared" si="104"/>
        <v/>
      </c>
      <c r="V717" s="294" t="str">
        <f t="shared" si="100"/>
        <v/>
      </c>
      <c r="W717" s="294" t="str">
        <f>IF(((E717="")+(F717="")),"",IF(VLOOKUP(F717,Mannschaften!$A$1:$B$54,2,FALSE)&lt;&gt;E717,"Reiter Mannschaften füllen",""))</f>
        <v/>
      </c>
      <c r="X717" s="248" t="str">
        <f>IF(ISBLANK(C717),"",IF((U717&gt;(LOOKUP(E717,WKNrListe,Übersicht!$O$7:$O$46)))+(U717&lt;(LOOKUP(E717,WKNrListe,Übersicht!$P$7:$P$46))),"JG falsch",""))</f>
        <v/>
      </c>
      <c r="Y717" s="255" t="str">
        <f>IF((A717="")*(B717=""),"",IF(ISERROR(MATCH(E717,WKNrListe,0)),"WK falsch",LOOKUP(E717,WKNrListe,Übersicht!$B$7:$B$46)))</f>
        <v/>
      </c>
      <c r="Z717" s="269" t="str">
        <f>IF(((AJ717=0)*(AH717&lt;&gt;"")*(AK717="-"))+((AJ717&lt;&gt;0)*(AH717&lt;&gt;"")*(AK717="-")),IF(AG717="X",Übersicht!$C$70,Übersicht!$C$69),"-")</f>
        <v>-</v>
      </c>
      <c r="AA717" s="252" t="str">
        <f>IF((($A717="")*($B717=""))+((MID($Y717,1,4)&lt;&gt;"Wahl")*(Deckblatt!$C$14='WK-Vorlagen'!$C$82))+(Deckblatt!$C$14&lt;&gt;'WK-Vorlagen'!$C$82),"",IF(ISERROR(MATCH(VALUE(MID(G717,1,2)),Schwierigkeitsstufen!$G$7:$G$19,0)),"Gerät falsch",LOOKUP(VALUE(MID(G717,1,2)),Schwierigkeitsstufen!$G$7:$G$19,Schwierigkeitsstufen!$H$7:$H$19)))</f>
        <v/>
      </c>
      <c r="AB717" s="250" t="str">
        <f>IF((($A717="")*($B717=""))+((MID($Y717,1,4)&lt;&gt;"Wahl")*(Deckblatt!$C$14='WK-Vorlagen'!$C$82))+(Deckblatt!$C$14&lt;&gt;'WK-Vorlagen'!$C$82),"",IF(ISERROR(MATCH(VALUE(MID(H717,1,2)),Schwierigkeitsstufen!$G$7:$G$19,0)),"Gerät falsch",LOOKUP(VALUE(MID(H717,1,2)),Schwierigkeitsstufen!$G$7:$G$19,Schwierigkeitsstufen!$H$7:$H$19)))</f>
        <v/>
      </c>
      <c r="AC717" s="250" t="str">
        <f>IF((($A717="")*($B717=""))+((MID($Y717,1,4)&lt;&gt;"Wahl")*(Deckblatt!$C$14='WK-Vorlagen'!$C$82))+(Deckblatt!$C$14&lt;&gt;'WK-Vorlagen'!$C$82),"",IF(ISERROR(MATCH(VALUE(MID(I717,1,2)),Schwierigkeitsstufen!$G$7:$G$19,0)),"Gerät falsch",LOOKUP(VALUE(MID(I717,1,2)),Schwierigkeitsstufen!$G$7:$G$19,Schwierigkeitsstufen!$H$7:$H$19)))</f>
        <v/>
      </c>
      <c r="AD717" s="251" t="str">
        <f>IF((($A717="")*($B717=""))+((MID($Y717,1,4)&lt;&gt;"Wahl")*(Deckblatt!$C$14='WK-Vorlagen'!$C$82))+(Deckblatt!$C$14&lt;&gt;'WK-Vorlagen'!$C$82),"",IF(ISERROR(MATCH(VALUE(MID(J717,1,2)),Schwierigkeitsstufen!$G$7:$G$19,0)),"Gerät falsch",LOOKUP(VALUE(MID(J717,1,2)),Schwierigkeitsstufen!$G$7:$G$19,Schwierigkeitsstufen!$H$7:$H$19)))</f>
        <v/>
      </c>
      <c r="AE717" s="211"/>
      <c r="AG717" s="221" t="str">
        <f t="shared" si="99"/>
        <v/>
      </c>
      <c r="AH717" s="222" t="str">
        <f t="shared" si="101"/>
        <v/>
      </c>
      <c r="AI717" s="220">
        <f t="shared" si="106"/>
        <v>4</v>
      </c>
      <c r="AJ717" s="222">
        <f t="shared" si="102"/>
        <v>0</v>
      </c>
      <c r="AK717" s="299" t="str">
        <f>IF(ISERROR(LOOKUP(E717,WKNrListe,Übersicht!$R$7:$R$46)),"-",LOOKUP(E717,WKNrListe,Übersicht!$R$7:$R$46))</f>
        <v>-</v>
      </c>
      <c r="AL717" s="299" t="str">
        <f t="shared" si="105"/>
        <v>-</v>
      </c>
      <c r="AM717" s="303"/>
      <c r="AN717" s="174" t="str">
        <f t="shared" si="98"/>
        <v>Leer</v>
      </c>
    </row>
    <row r="718" spans="1:40" s="174" customFormat="1" ht="15" customHeight="1">
      <c r="A718" s="63"/>
      <c r="B718" s="63"/>
      <c r="C718" s="84"/>
      <c r="D718" s="85"/>
      <c r="E718" s="62"/>
      <c r="F718" s="62"/>
      <c r="G718" s="62"/>
      <c r="H718" s="62"/>
      <c r="I718" s="62"/>
      <c r="J718" s="62"/>
      <c r="K718" s="62"/>
      <c r="L718" s="62"/>
      <c r="M718" s="62"/>
      <c r="N718" s="62"/>
      <c r="O718" s="62"/>
      <c r="P718" s="62"/>
      <c r="Q718" s="62"/>
      <c r="R718" s="62"/>
      <c r="S718" s="258"/>
      <c r="T718" s="248" t="str">
        <f t="shared" si="103"/>
        <v/>
      </c>
      <c r="U718" s="249" t="str">
        <f t="shared" si="104"/>
        <v/>
      </c>
      <c r="V718" s="294" t="str">
        <f t="shared" si="100"/>
        <v/>
      </c>
      <c r="W718" s="294" t="str">
        <f>IF(((E718="")+(F718="")),"",IF(VLOOKUP(F718,Mannschaften!$A$1:$B$54,2,FALSE)&lt;&gt;E718,"Reiter Mannschaften füllen",""))</f>
        <v/>
      </c>
      <c r="X718" s="248" t="str">
        <f>IF(ISBLANK(C718),"",IF((U718&gt;(LOOKUP(E718,WKNrListe,Übersicht!$O$7:$O$46)))+(U718&lt;(LOOKUP(E718,WKNrListe,Übersicht!$P$7:$P$46))),"JG falsch",""))</f>
        <v/>
      </c>
      <c r="Y718" s="255" t="str">
        <f>IF((A718="")*(B718=""),"",IF(ISERROR(MATCH(E718,WKNrListe,0)),"WK falsch",LOOKUP(E718,WKNrListe,Übersicht!$B$7:$B$46)))</f>
        <v/>
      </c>
      <c r="Z718" s="269" t="str">
        <f>IF(((AJ718=0)*(AH718&lt;&gt;"")*(AK718="-"))+((AJ718&lt;&gt;0)*(AH718&lt;&gt;"")*(AK718="-")),IF(AG718="X",Übersicht!$C$70,Übersicht!$C$69),"-")</f>
        <v>-</v>
      </c>
      <c r="AA718" s="252" t="str">
        <f>IF((($A718="")*($B718=""))+((MID($Y718,1,4)&lt;&gt;"Wahl")*(Deckblatt!$C$14='WK-Vorlagen'!$C$82))+(Deckblatt!$C$14&lt;&gt;'WK-Vorlagen'!$C$82),"",IF(ISERROR(MATCH(VALUE(MID(G718,1,2)),Schwierigkeitsstufen!$G$7:$G$19,0)),"Gerät falsch",LOOKUP(VALUE(MID(G718,1,2)),Schwierigkeitsstufen!$G$7:$G$19,Schwierigkeitsstufen!$H$7:$H$19)))</f>
        <v/>
      </c>
      <c r="AB718" s="250" t="str">
        <f>IF((($A718="")*($B718=""))+((MID($Y718,1,4)&lt;&gt;"Wahl")*(Deckblatt!$C$14='WK-Vorlagen'!$C$82))+(Deckblatt!$C$14&lt;&gt;'WK-Vorlagen'!$C$82),"",IF(ISERROR(MATCH(VALUE(MID(H718,1,2)),Schwierigkeitsstufen!$G$7:$G$19,0)),"Gerät falsch",LOOKUP(VALUE(MID(H718,1,2)),Schwierigkeitsstufen!$G$7:$G$19,Schwierigkeitsstufen!$H$7:$H$19)))</f>
        <v/>
      </c>
      <c r="AC718" s="250" t="str">
        <f>IF((($A718="")*($B718=""))+((MID($Y718,1,4)&lt;&gt;"Wahl")*(Deckblatt!$C$14='WK-Vorlagen'!$C$82))+(Deckblatt!$C$14&lt;&gt;'WK-Vorlagen'!$C$82),"",IF(ISERROR(MATCH(VALUE(MID(I718,1,2)),Schwierigkeitsstufen!$G$7:$G$19,0)),"Gerät falsch",LOOKUP(VALUE(MID(I718,1,2)),Schwierigkeitsstufen!$G$7:$G$19,Schwierigkeitsstufen!$H$7:$H$19)))</f>
        <v/>
      </c>
      <c r="AD718" s="251" t="str">
        <f>IF((($A718="")*($B718=""))+((MID($Y718,1,4)&lt;&gt;"Wahl")*(Deckblatt!$C$14='WK-Vorlagen'!$C$82))+(Deckblatt!$C$14&lt;&gt;'WK-Vorlagen'!$C$82),"",IF(ISERROR(MATCH(VALUE(MID(J718,1,2)),Schwierigkeitsstufen!$G$7:$G$19,0)),"Gerät falsch",LOOKUP(VALUE(MID(J718,1,2)),Schwierigkeitsstufen!$G$7:$G$19,Schwierigkeitsstufen!$H$7:$H$19)))</f>
        <v/>
      </c>
      <c r="AE718" s="211"/>
      <c r="AG718" s="221" t="str">
        <f t="shared" si="99"/>
        <v/>
      </c>
      <c r="AH718" s="222" t="str">
        <f t="shared" si="101"/>
        <v/>
      </c>
      <c r="AI718" s="220">
        <f t="shared" si="106"/>
        <v>4</v>
      </c>
      <c r="AJ718" s="222">
        <f t="shared" si="102"/>
        <v>0</v>
      </c>
      <c r="AK718" s="299" t="str">
        <f>IF(ISERROR(LOOKUP(E718,WKNrListe,Übersicht!$R$7:$R$46)),"-",LOOKUP(E718,WKNrListe,Übersicht!$R$7:$R$46))</f>
        <v>-</v>
      </c>
      <c r="AL718" s="299" t="str">
        <f t="shared" si="105"/>
        <v>-</v>
      </c>
      <c r="AM718" s="303"/>
      <c r="AN718" s="174" t="str">
        <f t="shared" si="98"/>
        <v>Leer</v>
      </c>
    </row>
    <row r="719" spans="1:40" s="174" customFormat="1" ht="15" customHeight="1">
      <c r="A719" s="63"/>
      <c r="B719" s="63"/>
      <c r="C719" s="84"/>
      <c r="D719" s="85"/>
      <c r="E719" s="62"/>
      <c r="F719" s="62"/>
      <c r="G719" s="62"/>
      <c r="H719" s="62"/>
      <c r="I719" s="62"/>
      <c r="J719" s="62"/>
      <c r="K719" s="62"/>
      <c r="L719" s="62"/>
      <c r="M719" s="62"/>
      <c r="N719" s="62"/>
      <c r="O719" s="62"/>
      <c r="P719" s="62"/>
      <c r="Q719" s="62"/>
      <c r="R719" s="62"/>
      <c r="S719" s="258"/>
      <c r="T719" s="248" t="str">
        <f t="shared" si="103"/>
        <v/>
      </c>
      <c r="U719" s="249" t="str">
        <f t="shared" si="104"/>
        <v/>
      </c>
      <c r="V719" s="294" t="str">
        <f t="shared" si="100"/>
        <v/>
      </c>
      <c r="W719" s="294" t="str">
        <f>IF(((E719="")+(F719="")),"",IF(VLOOKUP(F719,Mannschaften!$A$1:$B$54,2,FALSE)&lt;&gt;E719,"Reiter Mannschaften füllen",""))</f>
        <v/>
      </c>
      <c r="X719" s="248" t="str">
        <f>IF(ISBLANK(C719),"",IF((U719&gt;(LOOKUP(E719,WKNrListe,Übersicht!$O$7:$O$46)))+(U719&lt;(LOOKUP(E719,WKNrListe,Übersicht!$P$7:$P$46))),"JG falsch",""))</f>
        <v/>
      </c>
      <c r="Y719" s="255" t="str">
        <f>IF((A719="")*(B719=""),"",IF(ISERROR(MATCH(E719,WKNrListe,0)),"WK falsch",LOOKUP(E719,WKNrListe,Übersicht!$B$7:$B$46)))</f>
        <v/>
      </c>
      <c r="Z719" s="269" t="str">
        <f>IF(((AJ719=0)*(AH719&lt;&gt;"")*(AK719="-"))+((AJ719&lt;&gt;0)*(AH719&lt;&gt;"")*(AK719="-")),IF(AG719="X",Übersicht!$C$70,Übersicht!$C$69),"-")</f>
        <v>-</v>
      </c>
      <c r="AA719" s="252" t="str">
        <f>IF((($A719="")*($B719=""))+((MID($Y719,1,4)&lt;&gt;"Wahl")*(Deckblatt!$C$14='WK-Vorlagen'!$C$82))+(Deckblatt!$C$14&lt;&gt;'WK-Vorlagen'!$C$82),"",IF(ISERROR(MATCH(VALUE(MID(G719,1,2)),Schwierigkeitsstufen!$G$7:$G$19,0)),"Gerät falsch",LOOKUP(VALUE(MID(G719,1,2)),Schwierigkeitsstufen!$G$7:$G$19,Schwierigkeitsstufen!$H$7:$H$19)))</f>
        <v/>
      </c>
      <c r="AB719" s="250" t="str">
        <f>IF((($A719="")*($B719=""))+((MID($Y719,1,4)&lt;&gt;"Wahl")*(Deckblatt!$C$14='WK-Vorlagen'!$C$82))+(Deckblatt!$C$14&lt;&gt;'WK-Vorlagen'!$C$82),"",IF(ISERROR(MATCH(VALUE(MID(H719,1,2)),Schwierigkeitsstufen!$G$7:$G$19,0)),"Gerät falsch",LOOKUP(VALUE(MID(H719,1,2)),Schwierigkeitsstufen!$G$7:$G$19,Schwierigkeitsstufen!$H$7:$H$19)))</f>
        <v/>
      </c>
      <c r="AC719" s="250" t="str">
        <f>IF((($A719="")*($B719=""))+((MID($Y719,1,4)&lt;&gt;"Wahl")*(Deckblatt!$C$14='WK-Vorlagen'!$C$82))+(Deckblatt!$C$14&lt;&gt;'WK-Vorlagen'!$C$82),"",IF(ISERROR(MATCH(VALUE(MID(I719,1,2)),Schwierigkeitsstufen!$G$7:$G$19,0)),"Gerät falsch",LOOKUP(VALUE(MID(I719,1,2)),Schwierigkeitsstufen!$G$7:$G$19,Schwierigkeitsstufen!$H$7:$H$19)))</f>
        <v/>
      </c>
      <c r="AD719" s="251" t="str">
        <f>IF((($A719="")*($B719=""))+((MID($Y719,1,4)&lt;&gt;"Wahl")*(Deckblatt!$C$14='WK-Vorlagen'!$C$82))+(Deckblatt!$C$14&lt;&gt;'WK-Vorlagen'!$C$82),"",IF(ISERROR(MATCH(VALUE(MID(J719,1,2)),Schwierigkeitsstufen!$G$7:$G$19,0)),"Gerät falsch",LOOKUP(VALUE(MID(J719,1,2)),Schwierigkeitsstufen!$G$7:$G$19,Schwierigkeitsstufen!$H$7:$H$19)))</f>
        <v/>
      </c>
      <c r="AE719" s="211"/>
      <c r="AG719" s="221" t="str">
        <f t="shared" si="99"/>
        <v/>
      </c>
      <c r="AH719" s="222" t="str">
        <f t="shared" si="101"/>
        <v/>
      </c>
      <c r="AI719" s="220">
        <f t="shared" si="106"/>
        <v>4</v>
      </c>
      <c r="AJ719" s="222">
        <f t="shared" si="102"/>
        <v>0</v>
      </c>
      <c r="AK719" s="299" t="str">
        <f>IF(ISERROR(LOOKUP(E719,WKNrListe,Übersicht!$R$7:$R$46)),"-",LOOKUP(E719,WKNrListe,Übersicht!$R$7:$R$46))</f>
        <v>-</v>
      </c>
      <c r="AL719" s="299" t="str">
        <f t="shared" si="105"/>
        <v>-</v>
      </c>
      <c r="AM719" s="303"/>
      <c r="AN719" s="174" t="str">
        <f t="shared" si="98"/>
        <v>Leer</v>
      </c>
    </row>
    <row r="720" spans="1:40" s="174" customFormat="1" ht="15" customHeight="1">
      <c r="A720" s="63"/>
      <c r="B720" s="63"/>
      <c r="C720" s="84"/>
      <c r="D720" s="85"/>
      <c r="E720" s="62"/>
      <c r="F720" s="62"/>
      <c r="G720" s="62"/>
      <c r="H720" s="62"/>
      <c r="I720" s="62"/>
      <c r="J720" s="62"/>
      <c r="K720" s="62"/>
      <c r="L720" s="62"/>
      <c r="M720" s="62"/>
      <c r="N720" s="62"/>
      <c r="O720" s="62"/>
      <c r="P720" s="62"/>
      <c r="Q720" s="62"/>
      <c r="R720" s="62"/>
      <c r="S720" s="258"/>
      <c r="T720" s="248" t="str">
        <f t="shared" si="103"/>
        <v/>
      </c>
      <c r="U720" s="249" t="str">
        <f t="shared" si="104"/>
        <v/>
      </c>
      <c r="V720" s="294" t="str">
        <f t="shared" si="100"/>
        <v/>
      </c>
      <c r="W720" s="294" t="str">
        <f>IF(((E720="")+(F720="")),"",IF(VLOOKUP(F720,Mannschaften!$A$1:$B$54,2,FALSE)&lt;&gt;E720,"Reiter Mannschaften füllen",""))</f>
        <v/>
      </c>
      <c r="X720" s="248" t="str">
        <f>IF(ISBLANK(C720),"",IF((U720&gt;(LOOKUP(E720,WKNrListe,Übersicht!$O$7:$O$46)))+(U720&lt;(LOOKUP(E720,WKNrListe,Übersicht!$P$7:$P$46))),"JG falsch",""))</f>
        <v/>
      </c>
      <c r="Y720" s="255" t="str">
        <f>IF((A720="")*(B720=""),"",IF(ISERROR(MATCH(E720,WKNrListe,0)),"WK falsch",LOOKUP(E720,WKNrListe,Übersicht!$B$7:$B$46)))</f>
        <v/>
      </c>
      <c r="Z720" s="269" t="str">
        <f>IF(((AJ720=0)*(AH720&lt;&gt;"")*(AK720="-"))+((AJ720&lt;&gt;0)*(AH720&lt;&gt;"")*(AK720="-")),IF(AG720="X",Übersicht!$C$70,Übersicht!$C$69),"-")</f>
        <v>-</v>
      </c>
      <c r="AA720" s="252" t="str">
        <f>IF((($A720="")*($B720=""))+((MID($Y720,1,4)&lt;&gt;"Wahl")*(Deckblatt!$C$14='WK-Vorlagen'!$C$82))+(Deckblatt!$C$14&lt;&gt;'WK-Vorlagen'!$C$82),"",IF(ISERROR(MATCH(VALUE(MID(G720,1,2)),Schwierigkeitsstufen!$G$7:$G$19,0)),"Gerät falsch",LOOKUP(VALUE(MID(G720,1,2)),Schwierigkeitsstufen!$G$7:$G$19,Schwierigkeitsstufen!$H$7:$H$19)))</f>
        <v/>
      </c>
      <c r="AB720" s="250" t="str">
        <f>IF((($A720="")*($B720=""))+((MID($Y720,1,4)&lt;&gt;"Wahl")*(Deckblatt!$C$14='WK-Vorlagen'!$C$82))+(Deckblatt!$C$14&lt;&gt;'WK-Vorlagen'!$C$82),"",IF(ISERROR(MATCH(VALUE(MID(H720,1,2)),Schwierigkeitsstufen!$G$7:$G$19,0)),"Gerät falsch",LOOKUP(VALUE(MID(H720,1,2)),Schwierigkeitsstufen!$G$7:$G$19,Schwierigkeitsstufen!$H$7:$H$19)))</f>
        <v/>
      </c>
      <c r="AC720" s="250" t="str">
        <f>IF((($A720="")*($B720=""))+((MID($Y720,1,4)&lt;&gt;"Wahl")*(Deckblatt!$C$14='WK-Vorlagen'!$C$82))+(Deckblatt!$C$14&lt;&gt;'WK-Vorlagen'!$C$82),"",IF(ISERROR(MATCH(VALUE(MID(I720,1,2)),Schwierigkeitsstufen!$G$7:$G$19,0)),"Gerät falsch",LOOKUP(VALUE(MID(I720,1,2)),Schwierigkeitsstufen!$G$7:$G$19,Schwierigkeitsstufen!$H$7:$H$19)))</f>
        <v/>
      </c>
      <c r="AD720" s="251" t="str">
        <f>IF((($A720="")*($B720=""))+((MID($Y720,1,4)&lt;&gt;"Wahl")*(Deckblatt!$C$14='WK-Vorlagen'!$C$82))+(Deckblatt!$C$14&lt;&gt;'WK-Vorlagen'!$C$82),"",IF(ISERROR(MATCH(VALUE(MID(J720,1,2)),Schwierigkeitsstufen!$G$7:$G$19,0)),"Gerät falsch",LOOKUP(VALUE(MID(J720,1,2)),Schwierigkeitsstufen!$G$7:$G$19,Schwierigkeitsstufen!$H$7:$H$19)))</f>
        <v/>
      </c>
      <c r="AE720" s="211"/>
      <c r="AG720" s="221" t="str">
        <f t="shared" si="99"/>
        <v/>
      </c>
      <c r="AH720" s="222" t="str">
        <f t="shared" si="101"/>
        <v/>
      </c>
      <c r="AI720" s="220">
        <f t="shared" si="106"/>
        <v>4</v>
      </c>
      <c r="AJ720" s="222">
        <f t="shared" si="102"/>
        <v>0</v>
      </c>
      <c r="AK720" s="299" t="str">
        <f>IF(ISERROR(LOOKUP(E720,WKNrListe,Übersicht!$R$7:$R$46)),"-",LOOKUP(E720,WKNrListe,Übersicht!$R$7:$R$46))</f>
        <v>-</v>
      </c>
      <c r="AL720" s="299" t="str">
        <f t="shared" si="105"/>
        <v>-</v>
      </c>
      <c r="AM720" s="303"/>
      <c r="AN720" s="174" t="str">
        <f t="shared" si="98"/>
        <v>Leer</v>
      </c>
    </row>
    <row r="721" spans="1:40" s="174" customFormat="1" ht="15" customHeight="1">
      <c r="A721" s="63"/>
      <c r="B721" s="63"/>
      <c r="C721" s="84"/>
      <c r="D721" s="85"/>
      <c r="E721" s="62"/>
      <c r="F721" s="62"/>
      <c r="G721" s="62"/>
      <c r="H721" s="62"/>
      <c r="I721" s="62"/>
      <c r="J721" s="62"/>
      <c r="K721" s="62"/>
      <c r="L721" s="62"/>
      <c r="M721" s="62"/>
      <c r="N721" s="62"/>
      <c r="O721" s="62"/>
      <c r="P721" s="62"/>
      <c r="Q721" s="62"/>
      <c r="R721" s="62"/>
      <c r="S721" s="258"/>
      <c r="T721" s="248" t="str">
        <f t="shared" si="103"/>
        <v/>
      </c>
      <c r="U721" s="249" t="str">
        <f t="shared" si="104"/>
        <v/>
      </c>
      <c r="V721" s="294" t="str">
        <f t="shared" si="100"/>
        <v/>
      </c>
      <c r="W721" s="294" t="str">
        <f>IF(((E721="")+(F721="")),"",IF(VLOOKUP(F721,Mannschaften!$A$1:$B$54,2,FALSE)&lt;&gt;E721,"Reiter Mannschaften füllen",""))</f>
        <v/>
      </c>
      <c r="X721" s="248" t="str">
        <f>IF(ISBLANK(C721),"",IF((U721&gt;(LOOKUP(E721,WKNrListe,Übersicht!$O$7:$O$46)))+(U721&lt;(LOOKUP(E721,WKNrListe,Übersicht!$P$7:$P$46))),"JG falsch",""))</f>
        <v/>
      </c>
      <c r="Y721" s="255" t="str">
        <f>IF((A721="")*(B721=""),"",IF(ISERROR(MATCH(E721,WKNrListe,0)),"WK falsch",LOOKUP(E721,WKNrListe,Übersicht!$B$7:$B$46)))</f>
        <v/>
      </c>
      <c r="Z721" s="269" t="str">
        <f>IF(((AJ721=0)*(AH721&lt;&gt;"")*(AK721="-"))+((AJ721&lt;&gt;0)*(AH721&lt;&gt;"")*(AK721="-")),IF(AG721="X",Übersicht!$C$70,Übersicht!$C$69),"-")</f>
        <v>-</v>
      </c>
      <c r="AA721" s="252" t="str">
        <f>IF((($A721="")*($B721=""))+((MID($Y721,1,4)&lt;&gt;"Wahl")*(Deckblatt!$C$14='WK-Vorlagen'!$C$82))+(Deckblatt!$C$14&lt;&gt;'WK-Vorlagen'!$C$82),"",IF(ISERROR(MATCH(VALUE(MID(G721,1,2)),Schwierigkeitsstufen!$G$7:$G$19,0)),"Gerät falsch",LOOKUP(VALUE(MID(G721,1,2)),Schwierigkeitsstufen!$G$7:$G$19,Schwierigkeitsstufen!$H$7:$H$19)))</f>
        <v/>
      </c>
      <c r="AB721" s="250" t="str">
        <f>IF((($A721="")*($B721=""))+((MID($Y721,1,4)&lt;&gt;"Wahl")*(Deckblatt!$C$14='WK-Vorlagen'!$C$82))+(Deckblatt!$C$14&lt;&gt;'WK-Vorlagen'!$C$82),"",IF(ISERROR(MATCH(VALUE(MID(H721,1,2)),Schwierigkeitsstufen!$G$7:$G$19,0)),"Gerät falsch",LOOKUP(VALUE(MID(H721,1,2)),Schwierigkeitsstufen!$G$7:$G$19,Schwierigkeitsstufen!$H$7:$H$19)))</f>
        <v/>
      </c>
      <c r="AC721" s="250" t="str">
        <f>IF((($A721="")*($B721=""))+((MID($Y721,1,4)&lt;&gt;"Wahl")*(Deckblatt!$C$14='WK-Vorlagen'!$C$82))+(Deckblatt!$C$14&lt;&gt;'WK-Vorlagen'!$C$82),"",IF(ISERROR(MATCH(VALUE(MID(I721,1,2)),Schwierigkeitsstufen!$G$7:$G$19,0)),"Gerät falsch",LOOKUP(VALUE(MID(I721,1,2)),Schwierigkeitsstufen!$G$7:$G$19,Schwierigkeitsstufen!$H$7:$H$19)))</f>
        <v/>
      </c>
      <c r="AD721" s="251" t="str">
        <f>IF((($A721="")*($B721=""))+((MID($Y721,1,4)&lt;&gt;"Wahl")*(Deckblatt!$C$14='WK-Vorlagen'!$C$82))+(Deckblatt!$C$14&lt;&gt;'WK-Vorlagen'!$C$82),"",IF(ISERROR(MATCH(VALUE(MID(J721,1,2)),Schwierigkeitsstufen!$G$7:$G$19,0)),"Gerät falsch",LOOKUP(VALUE(MID(J721,1,2)),Schwierigkeitsstufen!$G$7:$G$19,Schwierigkeitsstufen!$H$7:$H$19)))</f>
        <v/>
      </c>
      <c r="AE721" s="211"/>
      <c r="AG721" s="221" t="str">
        <f t="shared" si="99"/>
        <v/>
      </c>
      <c r="AH721" s="222" t="str">
        <f t="shared" si="101"/>
        <v/>
      </c>
      <c r="AI721" s="220">
        <f t="shared" si="106"/>
        <v>4</v>
      </c>
      <c r="AJ721" s="222">
        <f t="shared" si="102"/>
        <v>0</v>
      </c>
      <c r="AK721" s="299" t="str">
        <f>IF(ISERROR(LOOKUP(E721,WKNrListe,Übersicht!$R$7:$R$46)),"-",LOOKUP(E721,WKNrListe,Übersicht!$R$7:$R$46))</f>
        <v>-</v>
      </c>
      <c r="AL721" s="299" t="str">
        <f t="shared" si="105"/>
        <v>-</v>
      </c>
      <c r="AM721" s="303"/>
      <c r="AN721" s="174" t="str">
        <f t="shared" si="98"/>
        <v>Leer</v>
      </c>
    </row>
    <row r="722" spans="1:40" s="174" customFormat="1" ht="15" customHeight="1">
      <c r="A722" s="63"/>
      <c r="B722" s="63"/>
      <c r="C722" s="84"/>
      <c r="D722" s="85"/>
      <c r="E722" s="62"/>
      <c r="F722" s="62"/>
      <c r="G722" s="62"/>
      <c r="H722" s="62"/>
      <c r="I722" s="62"/>
      <c r="J722" s="62"/>
      <c r="K722" s="62"/>
      <c r="L722" s="62"/>
      <c r="M722" s="62"/>
      <c r="N722" s="62"/>
      <c r="O722" s="62"/>
      <c r="P722" s="62"/>
      <c r="Q722" s="62"/>
      <c r="R722" s="62"/>
      <c r="S722" s="258"/>
      <c r="T722" s="248" t="str">
        <f t="shared" si="103"/>
        <v/>
      </c>
      <c r="U722" s="249" t="str">
        <f t="shared" si="104"/>
        <v/>
      </c>
      <c r="V722" s="294" t="str">
        <f t="shared" si="100"/>
        <v/>
      </c>
      <c r="W722" s="294" t="str">
        <f>IF(((E722="")+(F722="")),"",IF(VLOOKUP(F722,Mannschaften!$A$1:$B$54,2,FALSE)&lt;&gt;E722,"Reiter Mannschaften füllen",""))</f>
        <v/>
      </c>
      <c r="X722" s="248" t="str">
        <f>IF(ISBLANK(C722),"",IF((U722&gt;(LOOKUP(E722,WKNrListe,Übersicht!$O$7:$O$46)))+(U722&lt;(LOOKUP(E722,WKNrListe,Übersicht!$P$7:$P$46))),"JG falsch",""))</f>
        <v/>
      </c>
      <c r="Y722" s="255" t="str">
        <f>IF((A722="")*(B722=""),"",IF(ISERROR(MATCH(E722,WKNrListe,0)),"WK falsch",LOOKUP(E722,WKNrListe,Übersicht!$B$7:$B$46)))</f>
        <v/>
      </c>
      <c r="Z722" s="269" t="str">
        <f>IF(((AJ722=0)*(AH722&lt;&gt;"")*(AK722="-"))+((AJ722&lt;&gt;0)*(AH722&lt;&gt;"")*(AK722="-")),IF(AG722="X",Übersicht!$C$70,Übersicht!$C$69),"-")</f>
        <v>-</v>
      </c>
      <c r="AA722" s="252" t="str">
        <f>IF((($A722="")*($B722=""))+((MID($Y722,1,4)&lt;&gt;"Wahl")*(Deckblatt!$C$14='WK-Vorlagen'!$C$82))+(Deckblatt!$C$14&lt;&gt;'WK-Vorlagen'!$C$82),"",IF(ISERROR(MATCH(VALUE(MID(G722,1,2)),Schwierigkeitsstufen!$G$7:$G$19,0)),"Gerät falsch",LOOKUP(VALUE(MID(G722,1,2)),Schwierigkeitsstufen!$G$7:$G$19,Schwierigkeitsstufen!$H$7:$H$19)))</f>
        <v/>
      </c>
      <c r="AB722" s="250" t="str">
        <f>IF((($A722="")*($B722=""))+((MID($Y722,1,4)&lt;&gt;"Wahl")*(Deckblatt!$C$14='WK-Vorlagen'!$C$82))+(Deckblatt!$C$14&lt;&gt;'WK-Vorlagen'!$C$82),"",IF(ISERROR(MATCH(VALUE(MID(H722,1,2)),Schwierigkeitsstufen!$G$7:$G$19,0)),"Gerät falsch",LOOKUP(VALUE(MID(H722,1,2)),Schwierigkeitsstufen!$G$7:$G$19,Schwierigkeitsstufen!$H$7:$H$19)))</f>
        <v/>
      </c>
      <c r="AC722" s="250" t="str">
        <f>IF((($A722="")*($B722=""))+((MID($Y722,1,4)&lt;&gt;"Wahl")*(Deckblatt!$C$14='WK-Vorlagen'!$C$82))+(Deckblatt!$C$14&lt;&gt;'WK-Vorlagen'!$C$82),"",IF(ISERROR(MATCH(VALUE(MID(I722,1,2)),Schwierigkeitsstufen!$G$7:$G$19,0)),"Gerät falsch",LOOKUP(VALUE(MID(I722,1,2)),Schwierigkeitsstufen!$G$7:$G$19,Schwierigkeitsstufen!$H$7:$H$19)))</f>
        <v/>
      </c>
      <c r="AD722" s="251" t="str">
        <f>IF((($A722="")*($B722=""))+((MID($Y722,1,4)&lt;&gt;"Wahl")*(Deckblatt!$C$14='WK-Vorlagen'!$C$82))+(Deckblatt!$C$14&lt;&gt;'WK-Vorlagen'!$C$82),"",IF(ISERROR(MATCH(VALUE(MID(J722,1,2)),Schwierigkeitsstufen!$G$7:$G$19,0)),"Gerät falsch",LOOKUP(VALUE(MID(J722,1,2)),Schwierigkeitsstufen!$G$7:$G$19,Schwierigkeitsstufen!$H$7:$H$19)))</f>
        <v/>
      </c>
      <c r="AE722" s="211"/>
      <c r="AG722" s="221" t="str">
        <f t="shared" si="99"/>
        <v/>
      </c>
      <c r="AH722" s="222" t="str">
        <f t="shared" si="101"/>
        <v/>
      </c>
      <c r="AI722" s="220">
        <f t="shared" si="106"/>
        <v>4</v>
      </c>
      <c r="AJ722" s="222">
        <f t="shared" si="102"/>
        <v>0</v>
      </c>
      <c r="AK722" s="299" t="str">
        <f>IF(ISERROR(LOOKUP(E722,WKNrListe,Übersicht!$R$7:$R$46)),"-",LOOKUP(E722,WKNrListe,Übersicht!$R$7:$R$46))</f>
        <v>-</v>
      </c>
      <c r="AL722" s="299" t="str">
        <f t="shared" si="105"/>
        <v>-</v>
      </c>
      <c r="AM722" s="303"/>
      <c r="AN722" s="174" t="str">
        <f t="shared" si="98"/>
        <v>Leer</v>
      </c>
    </row>
    <row r="723" spans="1:40" s="174" customFormat="1" ht="15" customHeight="1">
      <c r="A723" s="63"/>
      <c r="B723" s="63"/>
      <c r="C723" s="84"/>
      <c r="D723" s="85"/>
      <c r="E723" s="62"/>
      <c r="F723" s="62"/>
      <c r="G723" s="62"/>
      <c r="H723" s="62"/>
      <c r="I723" s="62"/>
      <c r="J723" s="62"/>
      <c r="K723" s="62"/>
      <c r="L723" s="62"/>
      <c r="M723" s="62"/>
      <c r="N723" s="62"/>
      <c r="O723" s="62"/>
      <c r="P723" s="62"/>
      <c r="Q723" s="62"/>
      <c r="R723" s="62"/>
      <c r="S723" s="258"/>
      <c r="T723" s="248" t="str">
        <f t="shared" si="103"/>
        <v/>
      </c>
      <c r="U723" s="249" t="str">
        <f t="shared" si="104"/>
        <v/>
      </c>
      <c r="V723" s="294" t="str">
        <f t="shared" si="100"/>
        <v/>
      </c>
      <c r="W723" s="294" t="str">
        <f>IF(((E723="")+(F723="")),"",IF(VLOOKUP(F723,Mannschaften!$A$1:$B$54,2,FALSE)&lt;&gt;E723,"Reiter Mannschaften füllen",""))</f>
        <v/>
      </c>
      <c r="X723" s="248" t="str">
        <f>IF(ISBLANK(C723),"",IF((U723&gt;(LOOKUP(E723,WKNrListe,Übersicht!$O$7:$O$46)))+(U723&lt;(LOOKUP(E723,WKNrListe,Übersicht!$P$7:$P$46))),"JG falsch",""))</f>
        <v/>
      </c>
      <c r="Y723" s="255" t="str">
        <f>IF((A723="")*(B723=""),"",IF(ISERROR(MATCH(E723,WKNrListe,0)),"WK falsch",LOOKUP(E723,WKNrListe,Übersicht!$B$7:$B$46)))</f>
        <v/>
      </c>
      <c r="Z723" s="269" t="str">
        <f>IF(((AJ723=0)*(AH723&lt;&gt;"")*(AK723="-"))+((AJ723&lt;&gt;0)*(AH723&lt;&gt;"")*(AK723="-")),IF(AG723="X",Übersicht!$C$70,Übersicht!$C$69),"-")</f>
        <v>-</v>
      </c>
      <c r="AA723" s="252" t="str">
        <f>IF((($A723="")*($B723=""))+((MID($Y723,1,4)&lt;&gt;"Wahl")*(Deckblatt!$C$14='WK-Vorlagen'!$C$82))+(Deckblatt!$C$14&lt;&gt;'WK-Vorlagen'!$C$82),"",IF(ISERROR(MATCH(VALUE(MID(G723,1,2)),Schwierigkeitsstufen!$G$7:$G$19,0)),"Gerät falsch",LOOKUP(VALUE(MID(G723,1,2)),Schwierigkeitsstufen!$G$7:$G$19,Schwierigkeitsstufen!$H$7:$H$19)))</f>
        <v/>
      </c>
      <c r="AB723" s="250" t="str">
        <f>IF((($A723="")*($B723=""))+((MID($Y723,1,4)&lt;&gt;"Wahl")*(Deckblatt!$C$14='WK-Vorlagen'!$C$82))+(Deckblatt!$C$14&lt;&gt;'WK-Vorlagen'!$C$82),"",IF(ISERROR(MATCH(VALUE(MID(H723,1,2)),Schwierigkeitsstufen!$G$7:$G$19,0)),"Gerät falsch",LOOKUP(VALUE(MID(H723,1,2)),Schwierigkeitsstufen!$G$7:$G$19,Schwierigkeitsstufen!$H$7:$H$19)))</f>
        <v/>
      </c>
      <c r="AC723" s="250" t="str">
        <f>IF((($A723="")*($B723=""))+((MID($Y723,1,4)&lt;&gt;"Wahl")*(Deckblatt!$C$14='WK-Vorlagen'!$C$82))+(Deckblatt!$C$14&lt;&gt;'WK-Vorlagen'!$C$82),"",IF(ISERROR(MATCH(VALUE(MID(I723,1,2)),Schwierigkeitsstufen!$G$7:$G$19,0)),"Gerät falsch",LOOKUP(VALUE(MID(I723,1,2)),Schwierigkeitsstufen!$G$7:$G$19,Schwierigkeitsstufen!$H$7:$H$19)))</f>
        <v/>
      </c>
      <c r="AD723" s="251" t="str">
        <f>IF((($A723="")*($B723=""))+((MID($Y723,1,4)&lt;&gt;"Wahl")*(Deckblatt!$C$14='WK-Vorlagen'!$C$82))+(Deckblatt!$C$14&lt;&gt;'WK-Vorlagen'!$C$82),"",IF(ISERROR(MATCH(VALUE(MID(J723,1,2)),Schwierigkeitsstufen!$G$7:$G$19,0)),"Gerät falsch",LOOKUP(VALUE(MID(J723,1,2)),Schwierigkeitsstufen!$G$7:$G$19,Schwierigkeitsstufen!$H$7:$H$19)))</f>
        <v/>
      </c>
      <c r="AE723" s="211"/>
      <c r="AG723" s="221" t="str">
        <f t="shared" si="99"/>
        <v/>
      </c>
      <c r="AH723" s="222" t="str">
        <f t="shared" si="101"/>
        <v/>
      </c>
      <c r="AI723" s="220">
        <f t="shared" si="106"/>
        <v>4</v>
      </c>
      <c r="AJ723" s="222">
        <f t="shared" si="102"/>
        <v>0</v>
      </c>
      <c r="AK723" s="299" t="str">
        <f>IF(ISERROR(LOOKUP(E723,WKNrListe,Übersicht!$R$7:$R$46)),"-",LOOKUP(E723,WKNrListe,Übersicht!$R$7:$R$46))</f>
        <v>-</v>
      </c>
      <c r="AL723" s="299" t="str">
        <f t="shared" si="105"/>
        <v>-</v>
      </c>
      <c r="AM723" s="303"/>
      <c r="AN723" s="174" t="str">
        <f t="shared" si="98"/>
        <v>Leer</v>
      </c>
    </row>
    <row r="724" spans="1:40" s="174" customFormat="1" ht="15" customHeight="1">
      <c r="A724" s="63"/>
      <c r="B724" s="63"/>
      <c r="C724" s="84"/>
      <c r="D724" s="85"/>
      <c r="E724" s="62"/>
      <c r="F724" s="62"/>
      <c r="G724" s="62"/>
      <c r="H724" s="62"/>
      <c r="I724" s="62"/>
      <c r="J724" s="62"/>
      <c r="K724" s="62"/>
      <c r="L724" s="62"/>
      <c r="M724" s="62"/>
      <c r="N724" s="62"/>
      <c r="O724" s="62"/>
      <c r="P724" s="62"/>
      <c r="Q724" s="62"/>
      <c r="R724" s="62"/>
      <c r="S724" s="258"/>
      <c r="T724" s="248" t="str">
        <f t="shared" si="103"/>
        <v/>
      </c>
      <c r="U724" s="249" t="str">
        <f t="shared" si="104"/>
        <v/>
      </c>
      <c r="V724" s="294" t="str">
        <f t="shared" si="100"/>
        <v/>
      </c>
      <c r="W724" s="294" t="str">
        <f>IF(((E724="")+(F724="")),"",IF(VLOOKUP(F724,Mannschaften!$A$1:$B$54,2,FALSE)&lt;&gt;E724,"Reiter Mannschaften füllen",""))</f>
        <v/>
      </c>
      <c r="X724" s="248" t="str">
        <f>IF(ISBLANK(C724),"",IF((U724&gt;(LOOKUP(E724,WKNrListe,Übersicht!$O$7:$O$46)))+(U724&lt;(LOOKUP(E724,WKNrListe,Übersicht!$P$7:$P$46))),"JG falsch",""))</f>
        <v/>
      </c>
      <c r="Y724" s="255" t="str">
        <f>IF((A724="")*(B724=""),"",IF(ISERROR(MATCH(E724,WKNrListe,0)),"WK falsch",LOOKUP(E724,WKNrListe,Übersicht!$B$7:$B$46)))</f>
        <v/>
      </c>
      <c r="Z724" s="269" t="str">
        <f>IF(((AJ724=0)*(AH724&lt;&gt;"")*(AK724="-"))+((AJ724&lt;&gt;0)*(AH724&lt;&gt;"")*(AK724="-")),IF(AG724="X",Übersicht!$C$70,Übersicht!$C$69),"-")</f>
        <v>-</v>
      </c>
      <c r="AA724" s="252" t="str">
        <f>IF((($A724="")*($B724=""))+((MID($Y724,1,4)&lt;&gt;"Wahl")*(Deckblatt!$C$14='WK-Vorlagen'!$C$82))+(Deckblatt!$C$14&lt;&gt;'WK-Vorlagen'!$C$82),"",IF(ISERROR(MATCH(VALUE(MID(G724,1,2)),Schwierigkeitsstufen!$G$7:$G$19,0)),"Gerät falsch",LOOKUP(VALUE(MID(G724,1,2)),Schwierigkeitsstufen!$G$7:$G$19,Schwierigkeitsstufen!$H$7:$H$19)))</f>
        <v/>
      </c>
      <c r="AB724" s="250" t="str">
        <f>IF((($A724="")*($B724=""))+((MID($Y724,1,4)&lt;&gt;"Wahl")*(Deckblatt!$C$14='WK-Vorlagen'!$C$82))+(Deckblatt!$C$14&lt;&gt;'WK-Vorlagen'!$C$82),"",IF(ISERROR(MATCH(VALUE(MID(H724,1,2)),Schwierigkeitsstufen!$G$7:$G$19,0)),"Gerät falsch",LOOKUP(VALUE(MID(H724,1,2)),Schwierigkeitsstufen!$G$7:$G$19,Schwierigkeitsstufen!$H$7:$H$19)))</f>
        <v/>
      </c>
      <c r="AC724" s="250" t="str">
        <f>IF((($A724="")*($B724=""))+((MID($Y724,1,4)&lt;&gt;"Wahl")*(Deckblatt!$C$14='WK-Vorlagen'!$C$82))+(Deckblatt!$C$14&lt;&gt;'WK-Vorlagen'!$C$82),"",IF(ISERROR(MATCH(VALUE(MID(I724,1,2)),Schwierigkeitsstufen!$G$7:$G$19,0)),"Gerät falsch",LOOKUP(VALUE(MID(I724,1,2)),Schwierigkeitsstufen!$G$7:$G$19,Schwierigkeitsstufen!$H$7:$H$19)))</f>
        <v/>
      </c>
      <c r="AD724" s="251" t="str">
        <f>IF((($A724="")*($B724=""))+((MID($Y724,1,4)&lt;&gt;"Wahl")*(Deckblatt!$C$14='WK-Vorlagen'!$C$82))+(Deckblatt!$C$14&lt;&gt;'WK-Vorlagen'!$C$82),"",IF(ISERROR(MATCH(VALUE(MID(J724,1,2)),Schwierigkeitsstufen!$G$7:$G$19,0)),"Gerät falsch",LOOKUP(VALUE(MID(J724,1,2)),Schwierigkeitsstufen!$G$7:$G$19,Schwierigkeitsstufen!$H$7:$H$19)))</f>
        <v/>
      </c>
      <c r="AE724" s="211"/>
      <c r="AG724" s="221" t="str">
        <f t="shared" si="99"/>
        <v/>
      </c>
      <c r="AH724" s="222" t="str">
        <f t="shared" si="101"/>
        <v/>
      </c>
      <c r="AI724" s="220">
        <f t="shared" si="106"/>
        <v>4</v>
      </c>
      <c r="AJ724" s="222">
        <f t="shared" si="102"/>
        <v>0</v>
      </c>
      <c r="AK724" s="299" t="str">
        <f>IF(ISERROR(LOOKUP(E724,WKNrListe,Übersicht!$R$7:$R$46)),"-",LOOKUP(E724,WKNrListe,Übersicht!$R$7:$R$46))</f>
        <v>-</v>
      </c>
      <c r="AL724" s="299" t="str">
        <f t="shared" si="105"/>
        <v>-</v>
      </c>
      <c r="AM724" s="303"/>
      <c r="AN724" s="174" t="str">
        <f t="shared" si="98"/>
        <v>Leer</v>
      </c>
    </row>
    <row r="725" spans="1:40" s="174" customFormat="1" ht="15" customHeight="1">
      <c r="A725" s="63"/>
      <c r="B725" s="63"/>
      <c r="C725" s="84"/>
      <c r="D725" s="85"/>
      <c r="E725" s="62"/>
      <c r="F725" s="62"/>
      <c r="G725" s="62"/>
      <c r="H725" s="62"/>
      <c r="I725" s="62"/>
      <c r="J725" s="62"/>
      <c r="K725" s="62"/>
      <c r="L725" s="62"/>
      <c r="M725" s="62"/>
      <c r="N725" s="62"/>
      <c r="O725" s="62"/>
      <c r="P725" s="62"/>
      <c r="Q725" s="62"/>
      <c r="R725" s="62"/>
      <c r="S725" s="258"/>
      <c r="T725" s="248" t="str">
        <f t="shared" si="103"/>
        <v/>
      </c>
      <c r="U725" s="249" t="str">
        <f t="shared" si="104"/>
        <v/>
      </c>
      <c r="V725" s="294" t="str">
        <f t="shared" si="100"/>
        <v/>
      </c>
      <c r="W725" s="294" t="str">
        <f>IF(((E725="")+(F725="")),"",IF(VLOOKUP(F725,Mannschaften!$A$1:$B$54,2,FALSE)&lt;&gt;E725,"Reiter Mannschaften füllen",""))</f>
        <v/>
      </c>
      <c r="X725" s="248" t="str">
        <f>IF(ISBLANK(C725),"",IF((U725&gt;(LOOKUP(E725,WKNrListe,Übersicht!$O$7:$O$46)))+(U725&lt;(LOOKUP(E725,WKNrListe,Übersicht!$P$7:$P$46))),"JG falsch",""))</f>
        <v/>
      </c>
      <c r="Y725" s="255" t="str">
        <f>IF((A725="")*(B725=""),"",IF(ISERROR(MATCH(E725,WKNrListe,0)),"WK falsch",LOOKUP(E725,WKNrListe,Übersicht!$B$7:$B$46)))</f>
        <v/>
      </c>
      <c r="Z725" s="269" t="str">
        <f>IF(((AJ725=0)*(AH725&lt;&gt;"")*(AK725="-"))+((AJ725&lt;&gt;0)*(AH725&lt;&gt;"")*(AK725="-")),IF(AG725="X",Übersicht!$C$70,Übersicht!$C$69),"-")</f>
        <v>-</v>
      </c>
      <c r="AA725" s="252" t="str">
        <f>IF((($A725="")*($B725=""))+((MID($Y725,1,4)&lt;&gt;"Wahl")*(Deckblatt!$C$14='WK-Vorlagen'!$C$82))+(Deckblatt!$C$14&lt;&gt;'WK-Vorlagen'!$C$82),"",IF(ISERROR(MATCH(VALUE(MID(G725,1,2)),Schwierigkeitsstufen!$G$7:$G$19,0)),"Gerät falsch",LOOKUP(VALUE(MID(G725,1,2)),Schwierigkeitsstufen!$G$7:$G$19,Schwierigkeitsstufen!$H$7:$H$19)))</f>
        <v/>
      </c>
      <c r="AB725" s="250" t="str">
        <f>IF((($A725="")*($B725=""))+((MID($Y725,1,4)&lt;&gt;"Wahl")*(Deckblatt!$C$14='WK-Vorlagen'!$C$82))+(Deckblatt!$C$14&lt;&gt;'WK-Vorlagen'!$C$82),"",IF(ISERROR(MATCH(VALUE(MID(H725,1,2)),Schwierigkeitsstufen!$G$7:$G$19,0)),"Gerät falsch",LOOKUP(VALUE(MID(H725,1,2)),Schwierigkeitsstufen!$G$7:$G$19,Schwierigkeitsstufen!$H$7:$H$19)))</f>
        <v/>
      </c>
      <c r="AC725" s="250" t="str">
        <f>IF((($A725="")*($B725=""))+((MID($Y725,1,4)&lt;&gt;"Wahl")*(Deckblatt!$C$14='WK-Vorlagen'!$C$82))+(Deckblatt!$C$14&lt;&gt;'WK-Vorlagen'!$C$82),"",IF(ISERROR(MATCH(VALUE(MID(I725,1,2)),Schwierigkeitsstufen!$G$7:$G$19,0)),"Gerät falsch",LOOKUP(VALUE(MID(I725,1,2)),Schwierigkeitsstufen!$G$7:$G$19,Schwierigkeitsstufen!$H$7:$H$19)))</f>
        <v/>
      </c>
      <c r="AD725" s="251" t="str">
        <f>IF((($A725="")*($B725=""))+((MID($Y725,1,4)&lt;&gt;"Wahl")*(Deckblatt!$C$14='WK-Vorlagen'!$C$82))+(Deckblatt!$C$14&lt;&gt;'WK-Vorlagen'!$C$82),"",IF(ISERROR(MATCH(VALUE(MID(J725,1,2)),Schwierigkeitsstufen!$G$7:$G$19,0)),"Gerät falsch",LOOKUP(VALUE(MID(J725,1,2)),Schwierigkeitsstufen!$G$7:$G$19,Schwierigkeitsstufen!$H$7:$H$19)))</f>
        <v/>
      </c>
      <c r="AE725" s="211"/>
      <c r="AG725" s="221" t="str">
        <f t="shared" si="99"/>
        <v/>
      </c>
      <c r="AH725" s="222" t="str">
        <f t="shared" si="101"/>
        <v/>
      </c>
      <c r="AI725" s="220">
        <f t="shared" si="106"/>
        <v>4</v>
      </c>
      <c r="AJ725" s="222">
        <f t="shared" si="102"/>
        <v>0</v>
      </c>
      <c r="AK725" s="299" t="str">
        <f>IF(ISERROR(LOOKUP(E725,WKNrListe,Übersicht!$R$7:$R$46)),"-",LOOKUP(E725,WKNrListe,Übersicht!$R$7:$R$46))</f>
        <v>-</v>
      </c>
      <c r="AL725" s="299" t="str">
        <f t="shared" si="105"/>
        <v>-</v>
      </c>
      <c r="AM725" s="303"/>
      <c r="AN725" s="174" t="str">
        <f t="shared" si="98"/>
        <v>Leer</v>
      </c>
    </row>
    <row r="726" spans="1:40" s="174" customFormat="1" ht="15" customHeight="1">
      <c r="A726" s="63"/>
      <c r="B726" s="63"/>
      <c r="C726" s="84"/>
      <c r="D726" s="85"/>
      <c r="E726" s="62"/>
      <c r="F726" s="62"/>
      <c r="G726" s="62"/>
      <c r="H726" s="62"/>
      <c r="I726" s="62"/>
      <c r="J726" s="62"/>
      <c r="K726" s="62"/>
      <c r="L726" s="62"/>
      <c r="M726" s="62"/>
      <c r="N726" s="62"/>
      <c r="O726" s="62"/>
      <c r="P726" s="62"/>
      <c r="Q726" s="62"/>
      <c r="R726" s="62"/>
      <c r="S726" s="258"/>
      <c r="T726" s="248" t="str">
        <f t="shared" si="103"/>
        <v/>
      </c>
      <c r="U726" s="249" t="str">
        <f t="shared" si="104"/>
        <v/>
      </c>
      <c r="V726" s="294" t="str">
        <f t="shared" si="100"/>
        <v/>
      </c>
      <c r="W726" s="294" t="str">
        <f>IF(((E726="")+(F726="")),"",IF(VLOOKUP(F726,Mannschaften!$A$1:$B$54,2,FALSE)&lt;&gt;E726,"Reiter Mannschaften füllen",""))</f>
        <v/>
      </c>
      <c r="X726" s="248" t="str">
        <f>IF(ISBLANK(C726),"",IF((U726&gt;(LOOKUP(E726,WKNrListe,Übersicht!$O$7:$O$46)))+(U726&lt;(LOOKUP(E726,WKNrListe,Übersicht!$P$7:$P$46))),"JG falsch",""))</f>
        <v/>
      </c>
      <c r="Y726" s="255" t="str">
        <f>IF((A726="")*(B726=""),"",IF(ISERROR(MATCH(E726,WKNrListe,0)),"WK falsch",LOOKUP(E726,WKNrListe,Übersicht!$B$7:$B$46)))</f>
        <v/>
      </c>
      <c r="Z726" s="269" t="str">
        <f>IF(((AJ726=0)*(AH726&lt;&gt;"")*(AK726="-"))+((AJ726&lt;&gt;0)*(AH726&lt;&gt;"")*(AK726="-")),IF(AG726="X",Übersicht!$C$70,Übersicht!$C$69),"-")</f>
        <v>-</v>
      </c>
      <c r="AA726" s="252" t="str">
        <f>IF((($A726="")*($B726=""))+((MID($Y726,1,4)&lt;&gt;"Wahl")*(Deckblatt!$C$14='WK-Vorlagen'!$C$82))+(Deckblatt!$C$14&lt;&gt;'WK-Vorlagen'!$C$82),"",IF(ISERROR(MATCH(VALUE(MID(G726,1,2)),Schwierigkeitsstufen!$G$7:$G$19,0)),"Gerät falsch",LOOKUP(VALUE(MID(G726,1,2)),Schwierigkeitsstufen!$G$7:$G$19,Schwierigkeitsstufen!$H$7:$H$19)))</f>
        <v/>
      </c>
      <c r="AB726" s="250" t="str">
        <f>IF((($A726="")*($B726=""))+((MID($Y726,1,4)&lt;&gt;"Wahl")*(Deckblatt!$C$14='WK-Vorlagen'!$C$82))+(Deckblatt!$C$14&lt;&gt;'WK-Vorlagen'!$C$82),"",IF(ISERROR(MATCH(VALUE(MID(H726,1,2)),Schwierigkeitsstufen!$G$7:$G$19,0)),"Gerät falsch",LOOKUP(VALUE(MID(H726,1,2)),Schwierigkeitsstufen!$G$7:$G$19,Schwierigkeitsstufen!$H$7:$H$19)))</f>
        <v/>
      </c>
      <c r="AC726" s="250" t="str">
        <f>IF((($A726="")*($B726=""))+((MID($Y726,1,4)&lt;&gt;"Wahl")*(Deckblatt!$C$14='WK-Vorlagen'!$C$82))+(Deckblatt!$C$14&lt;&gt;'WK-Vorlagen'!$C$82),"",IF(ISERROR(MATCH(VALUE(MID(I726,1,2)),Schwierigkeitsstufen!$G$7:$G$19,0)),"Gerät falsch",LOOKUP(VALUE(MID(I726,1,2)),Schwierigkeitsstufen!$G$7:$G$19,Schwierigkeitsstufen!$H$7:$H$19)))</f>
        <v/>
      </c>
      <c r="AD726" s="251" t="str">
        <f>IF((($A726="")*($B726=""))+((MID($Y726,1,4)&lt;&gt;"Wahl")*(Deckblatt!$C$14='WK-Vorlagen'!$C$82))+(Deckblatt!$C$14&lt;&gt;'WK-Vorlagen'!$C$82),"",IF(ISERROR(MATCH(VALUE(MID(J726,1,2)),Schwierigkeitsstufen!$G$7:$G$19,0)),"Gerät falsch",LOOKUP(VALUE(MID(J726,1,2)),Schwierigkeitsstufen!$G$7:$G$19,Schwierigkeitsstufen!$H$7:$H$19)))</f>
        <v/>
      </c>
      <c r="AE726" s="211"/>
      <c r="AG726" s="221" t="str">
        <f t="shared" si="99"/>
        <v/>
      </c>
      <c r="AH726" s="222" t="str">
        <f t="shared" si="101"/>
        <v/>
      </c>
      <c r="AI726" s="220">
        <f t="shared" si="106"/>
        <v>4</v>
      </c>
      <c r="AJ726" s="222">
        <f t="shared" si="102"/>
        <v>0</v>
      </c>
      <c r="AK726" s="299" t="str">
        <f>IF(ISERROR(LOOKUP(E726,WKNrListe,Übersicht!$R$7:$R$46)),"-",LOOKUP(E726,WKNrListe,Übersicht!$R$7:$R$46))</f>
        <v>-</v>
      </c>
      <c r="AL726" s="299" t="str">
        <f t="shared" si="105"/>
        <v>-</v>
      </c>
      <c r="AM726" s="303"/>
      <c r="AN726" s="174" t="str">
        <f t="shared" si="98"/>
        <v>Leer</v>
      </c>
    </row>
    <row r="727" spans="1:40" s="174" customFormat="1" ht="15" customHeight="1">
      <c r="A727" s="63"/>
      <c r="B727" s="63"/>
      <c r="C727" s="84"/>
      <c r="D727" s="85"/>
      <c r="E727" s="62"/>
      <c r="F727" s="62"/>
      <c r="G727" s="62"/>
      <c r="H727" s="62"/>
      <c r="I727" s="62"/>
      <c r="J727" s="62"/>
      <c r="K727" s="62"/>
      <c r="L727" s="62"/>
      <c r="M727" s="62"/>
      <c r="N727" s="62"/>
      <c r="O727" s="62"/>
      <c r="P727" s="62"/>
      <c r="Q727" s="62"/>
      <c r="R727" s="62"/>
      <c r="S727" s="258"/>
      <c r="T727" s="248" t="str">
        <f t="shared" si="103"/>
        <v/>
      </c>
      <c r="U727" s="249" t="str">
        <f t="shared" si="104"/>
        <v/>
      </c>
      <c r="V727" s="294" t="str">
        <f t="shared" si="100"/>
        <v/>
      </c>
      <c r="W727" s="294" t="str">
        <f>IF(((E727="")+(F727="")),"",IF(VLOOKUP(F727,Mannschaften!$A$1:$B$54,2,FALSE)&lt;&gt;E727,"Reiter Mannschaften füllen",""))</f>
        <v/>
      </c>
      <c r="X727" s="248" t="str">
        <f>IF(ISBLANK(C727),"",IF((U727&gt;(LOOKUP(E727,WKNrListe,Übersicht!$O$7:$O$46)))+(U727&lt;(LOOKUP(E727,WKNrListe,Übersicht!$P$7:$P$46))),"JG falsch",""))</f>
        <v/>
      </c>
      <c r="Y727" s="255" t="str">
        <f>IF((A727="")*(B727=""),"",IF(ISERROR(MATCH(E727,WKNrListe,0)),"WK falsch",LOOKUP(E727,WKNrListe,Übersicht!$B$7:$B$46)))</f>
        <v/>
      </c>
      <c r="Z727" s="269" t="str">
        <f>IF(((AJ727=0)*(AH727&lt;&gt;"")*(AK727="-"))+((AJ727&lt;&gt;0)*(AH727&lt;&gt;"")*(AK727="-")),IF(AG727="X",Übersicht!$C$70,Übersicht!$C$69),"-")</f>
        <v>-</v>
      </c>
      <c r="AA727" s="252" t="str">
        <f>IF((($A727="")*($B727=""))+((MID($Y727,1,4)&lt;&gt;"Wahl")*(Deckblatt!$C$14='WK-Vorlagen'!$C$82))+(Deckblatt!$C$14&lt;&gt;'WK-Vorlagen'!$C$82),"",IF(ISERROR(MATCH(VALUE(MID(G727,1,2)),Schwierigkeitsstufen!$G$7:$G$19,0)),"Gerät falsch",LOOKUP(VALUE(MID(G727,1,2)),Schwierigkeitsstufen!$G$7:$G$19,Schwierigkeitsstufen!$H$7:$H$19)))</f>
        <v/>
      </c>
      <c r="AB727" s="250" t="str">
        <f>IF((($A727="")*($B727=""))+((MID($Y727,1,4)&lt;&gt;"Wahl")*(Deckblatt!$C$14='WK-Vorlagen'!$C$82))+(Deckblatt!$C$14&lt;&gt;'WK-Vorlagen'!$C$82),"",IF(ISERROR(MATCH(VALUE(MID(H727,1,2)),Schwierigkeitsstufen!$G$7:$G$19,0)),"Gerät falsch",LOOKUP(VALUE(MID(H727,1,2)),Schwierigkeitsstufen!$G$7:$G$19,Schwierigkeitsstufen!$H$7:$H$19)))</f>
        <v/>
      </c>
      <c r="AC727" s="250" t="str">
        <f>IF((($A727="")*($B727=""))+((MID($Y727,1,4)&lt;&gt;"Wahl")*(Deckblatt!$C$14='WK-Vorlagen'!$C$82))+(Deckblatt!$C$14&lt;&gt;'WK-Vorlagen'!$C$82),"",IF(ISERROR(MATCH(VALUE(MID(I727,1,2)),Schwierigkeitsstufen!$G$7:$G$19,0)),"Gerät falsch",LOOKUP(VALUE(MID(I727,1,2)),Schwierigkeitsstufen!$G$7:$G$19,Schwierigkeitsstufen!$H$7:$H$19)))</f>
        <v/>
      </c>
      <c r="AD727" s="251" t="str">
        <f>IF((($A727="")*($B727=""))+((MID($Y727,1,4)&lt;&gt;"Wahl")*(Deckblatt!$C$14='WK-Vorlagen'!$C$82))+(Deckblatt!$C$14&lt;&gt;'WK-Vorlagen'!$C$82),"",IF(ISERROR(MATCH(VALUE(MID(J727,1,2)),Schwierigkeitsstufen!$G$7:$G$19,0)),"Gerät falsch",LOOKUP(VALUE(MID(J727,1,2)),Schwierigkeitsstufen!$G$7:$G$19,Schwierigkeitsstufen!$H$7:$H$19)))</f>
        <v/>
      </c>
      <c r="AE727" s="211"/>
      <c r="AG727" s="221" t="str">
        <f t="shared" si="99"/>
        <v/>
      </c>
      <c r="AH727" s="222" t="str">
        <f t="shared" si="101"/>
        <v/>
      </c>
      <c r="AI727" s="220">
        <f t="shared" si="106"/>
        <v>4</v>
      </c>
      <c r="AJ727" s="222">
        <f t="shared" si="102"/>
        <v>0</v>
      </c>
      <c r="AK727" s="299" t="str">
        <f>IF(ISERROR(LOOKUP(E727,WKNrListe,Übersicht!$R$7:$R$46)),"-",LOOKUP(E727,WKNrListe,Übersicht!$R$7:$R$46))</f>
        <v>-</v>
      </c>
      <c r="AL727" s="299" t="str">
        <f t="shared" si="105"/>
        <v>-</v>
      </c>
      <c r="AM727" s="303"/>
      <c r="AN727" s="174" t="str">
        <f t="shared" si="98"/>
        <v>Leer</v>
      </c>
    </row>
    <row r="728" spans="1:40" s="174" customFormat="1" ht="15" customHeight="1">
      <c r="A728" s="63"/>
      <c r="B728" s="63"/>
      <c r="C728" s="84"/>
      <c r="D728" s="85"/>
      <c r="E728" s="62"/>
      <c r="F728" s="62"/>
      <c r="G728" s="62"/>
      <c r="H728" s="62"/>
      <c r="I728" s="62"/>
      <c r="J728" s="62"/>
      <c r="K728" s="62"/>
      <c r="L728" s="62"/>
      <c r="M728" s="62"/>
      <c r="N728" s="62"/>
      <c r="O728" s="62"/>
      <c r="P728" s="62"/>
      <c r="Q728" s="62"/>
      <c r="R728" s="62"/>
      <c r="S728" s="258"/>
      <c r="T728" s="248" t="str">
        <f t="shared" si="103"/>
        <v/>
      </c>
      <c r="U728" s="249" t="str">
        <f t="shared" si="104"/>
        <v/>
      </c>
      <c r="V728" s="294" t="str">
        <f t="shared" si="100"/>
        <v/>
      </c>
      <c r="W728" s="294" t="str">
        <f>IF(((E728="")+(F728="")),"",IF(VLOOKUP(F728,Mannschaften!$A$1:$B$54,2,FALSE)&lt;&gt;E728,"Reiter Mannschaften füllen",""))</f>
        <v/>
      </c>
      <c r="X728" s="248" t="str">
        <f>IF(ISBLANK(C728),"",IF((U728&gt;(LOOKUP(E728,WKNrListe,Übersicht!$O$7:$O$46)))+(U728&lt;(LOOKUP(E728,WKNrListe,Übersicht!$P$7:$P$46))),"JG falsch",""))</f>
        <v/>
      </c>
      <c r="Y728" s="255" t="str">
        <f>IF((A728="")*(B728=""),"",IF(ISERROR(MATCH(E728,WKNrListe,0)),"WK falsch",LOOKUP(E728,WKNrListe,Übersicht!$B$7:$B$46)))</f>
        <v/>
      </c>
      <c r="Z728" s="269" t="str">
        <f>IF(((AJ728=0)*(AH728&lt;&gt;"")*(AK728="-"))+((AJ728&lt;&gt;0)*(AH728&lt;&gt;"")*(AK728="-")),IF(AG728="X",Übersicht!$C$70,Übersicht!$C$69),"-")</f>
        <v>-</v>
      </c>
      <c r="AA728" s="252" t="str">
        <f>IF((($A728="")*($B728=""))+((MID($Y728,1,4)&lt;&gt;"Wahl")*(Deckblatt!$C$14='WK-Vorlagen'!$C$82))+(Deckblatt!$C$14&lt;&gt;'WK-Vorlagen'!$C$82),"",IF(ISERROR(MATCH(VALUE(MID(G728,1,2)),Schwierigkeitsstufen!$G$7:$G$19,0)),"Gerät falsch",LOOKUP(VALUE(MID(G728,1,2)),Schwierigkeitsstufen!$G$7:$G$19,Schwierigkeitsstufen!$H$7:$H$19)))</f>
        <v/>
      </c>
      <c r="AB728" s="250" t="str">
        <f>IF((($A728="")*($B728=""))+((MID($Y728,1,4)&lt;&gt;"Wahl")*(Deckblatt!$C$14='WK-Vorlagen'!$C$82))+(Deckblatt!$C$14&lt;&gt;'WK-Vorlagen'!$C$82),"",IF(ISERROR(MATCH(VALUE(MID(H728,1,2)),Schwierigkeitsstufen!$G$7:$G$19,0)),"Gerät falsch",LOOKUP(VALUE(MID(H728,1,2)),Schwierigkeitsstufen!$G$7:$G$19,Schwierigkeitsstufen!$H$7:$H$19)))</f>
        <v/>
      </c>
      <c r="AC728" s="250" t="str">
        <f>IF((($A728="")*($B728=""))+((MID($Y728,1,4)&lt;&gt;"Wahl")*(Deckblatt!$C$14='WK-Vorlagen'!$C$82))+(Deckblatt!$C$14&lt;&gt;'WK-Vorlagen'!$C$82),"",IF(ISERROR(MATCH(VALUE(MID(I728,1,2)),Schwierigkeitsstufen!$G$7:$G$19,0)),"Gerät falsch",LOOKUP(VALUE(MID(I728,1,2)),Schwierigkeitsstufen!$G$7:$G$19,Schwierigkeitsstufen!$H$7:$H$19)))</f>
        <v/>
      </c>
      <c r="AD728" s="251" t="str">
        <f>IF((($A728="")*($B728=""))+((MID($Y728,1,4)&lt;&gt;"Wahl")*(Deckblatt!$C$14='WK-Vorlagen'!$C$82))+(Deckblatt!$C$14&lt;&gt;'WK-Vorlagen'!$C$82),"",IF(ISERROR(MATCH(VALUE(MID(J728,1,2)),Schwierigkeitsstufen!$G$7:$G$19,0)),"Gerät falsch",LOOKUP(VALUE(MID(J728,1,2)),Schwierigkeitsstufen!$G$7:$G$19,Schwierigkeitsstufen!$H$7:$H$19)))</f>
        <v/>
      </c>
      <c r="AE728" s="211"/>
      <c r="AG728" s="221" t="str">
        <f t="shared" si="99"/>
        <v/>
      </c>
      <c r="AH728" s="222" t="str">
        <f t="shared" si="101"/>
        <v/>
      </c>
      <c r="AI728" s="220">
        <f t="shared" si="106"/>
        <v>4</v>
      </c>
      <c r="AJ728" s="222">
        <f t="shared" si="102"/>
        <v>0</v>
      </c>
      <c r="AK728" s="299" t="str">
        <f>IF(ISERROR(LOOKUP(E728,WKNrListe,Übersicht!$R$7:$R$46)),"-",LOOKUP(E728,WKNrListe,Übersicht!$R$7:$R$46))</f>
        <v>-</v>
      </c>
      <c r="AL728" s="299" t="str">
        <f t="shared" si="105"/>
        <v>-</v>
      </c>
      <c r="AM728" s="303"/>
      <c r="AN728" s="174" t="str">
        <f t="shared" si="98"/>
        <v>Leer</v>
      </c>
    </row>
    <row r="729" spans="1:40" s="174" customFormat="1" ht="15" customHeight="1">
      <c r="A729" s="63"/>
      <c r="B729" s="63"/>
      <c r="C729" s="84"/>
      <c r="D729" s="85"/>
      <c r="E729" s="62"/>
      <c r="F729" s="62"/>
      <c r="G729" s="62"/>
      <c r="H729" s="62"/>
      <c r="I729" s="62"/>
      <c r="J729" s="62"/>
      <c r="K729" s="62"/>
      <c r="L729" s="62"/>
      <c r="M729" s="62"/>
      <c r="N729" s="62"/>
      <c r="O729" s="62"/>
      <c r="P729" s="62"/>
      <c r="Q729" s="62"/>
      <c r="R729" s="62"/>
      <c r="S729" s="258"/>
      <c r="T729" s="248" t="str">
        <f t="shared" si="103"/>
        <v/>
      </c>
      <c r="U729" s="249" t="str">
        <f t="shared" si="104"/>
        <v/>
      </c>
      <c r="V729" s="294" t="str">
        <f t="shared" si="100"/>
        <v/>
      </c>
      <c r="W729" s="294" t="str">
        <f>IF(((E729="")+(F729="")),"",IF(VLOOKUP(F729,Mannschaften!$A$1:$B$54,2,FALSE)&lt;&gt;E729,"Reiter Mannschaften füllen",""))</f>
        <v/>
      </c>
      <c r="X729" s="248" t="str">
        <f>IF(ISBLANK(C729),"",IF((U729&gt;(LOOKUP(E729,WKNrListe,Übersicht!$O$7:$O$46)))+(U729&lt;(LOOKUP(E729,WKNrListe,Übersicht!$P$7:$P$46))),"JG falsch",""))</f>
        <v/>
      </c>
      <c r="Y729" s="255" t="str">
        <f>IF((A729="")*(B729=""),"",IF(ISERROR(MATCH(E729,WKNrListe,0)),"WK falsch",LOOKUP(E729,WKNrListe,Übersicht!$B$7:$B$46)))</f>
        <v/>
      </c>
      <c r="Z729" s="269" t="str">
        <f>IF(((AJ729=0)*(AH729&lt;&gt;"")*(AK729="-"))+((AJ729&lt;&gt;0)*(AH729&lt;&gt;"")*(AK729="-")),IF(AG729="X",Übersicht!$C$70,Übersicht!$C$69),"-")</f>
        <v>-</v>
      </c>
      <c r="AA729" s="252" t="str">
        <f>IF((($A729="")*($B729=""))+((MID($Y729,1,4)&lt;&gt;"Wahl")*(Deckblatt!$C$14='WK-Vorlagen'!$C$82))+(Deckblatt!$C$14&lt;&gt;'WK-Vorlagen'!$C$82),"",IF(ISERROR(MATCH(VALUE(MID(G729,1,2)),Schwierigkeitsstufen!$G$7:$G$19,0)),"Gerät falsch",LOOKUP(VALUE(MID(G729,1,2)),Schwierigkeitsstufen!$G$7:$G$19,Schwierigkeitsstufen!$H$7:$H$19)))</f>
        <v/>
      </c>
      <c r="AB729" s="250" t="str">
        <f>IF((($A729="")*($B729=""))+((MID($Y729,1,4)&lt;&gt;"Wahl")*(Deckblatt!$C$14='WK-Vorlagen'!$C$82))+(Deckblatt!$C$14&lt;&gt;'WK-Vorlagen'!$C$82),"",IF(ISERROR(MATCH(VALUE(MID(H729,1,2)),Schwierigkeitsstufen!$G$7:$G$19,0)),"Gerät falsch",LOOKUP(VALUE(MID(H729,1,2)),Schwierigkeitsstufen!$G$7:$G$19,Schwierigkeitsstufen!$H$7:$H$19)))</f>
        <v/>
      </c>
      <c r="AC729" s="250" t="str">
        <f>IF((($A729="")*($B729=""))+((MID($Y729,1,4)&lt;&gt;"Wahl")*(Deckblatt!$C$14='WK-Vorlagen'!$C$82))+(Deckblatt!$C$14&lt;&gt;'WK-Vorlagen'!$C$82),"",IF(ISERROR(MATCH(VALUE(MID(I729,1,2)),Schwierigkeitsstufen!$G$7:$G$19,0)),"Gerät falsch",LOOKUP(VALUE(MID(I729,1,2)),Schwierigkeitsstufen!$G$7:$G$19,Schwierigkeitsstufen!$H$7:$H$19)))</f>
        <v/>
      </c>
      <c r="AD729" s="251" t="str">
        <f>IF((($A729="")*($B729=""))+((MID($Y729,1,4)&lt;&gt;"Wahl")*(Deckblatt!$C$14='WK-Vorlagen'!$C$82))+(Deckblatt!$C$14&lt;&gt;'WK-Vorlagen'!$C$82),"",IF(ISERROR(MATCH(VALUE(MID(J729,1,2)),Schwierigkeitsstufen!$G$7:$G$19,0)),"Gerät falsch",LOOKUP(VALUE(MID(J729,1,2)),Schwierigkeitsstufen!$G$7:$G$19,Schwierigkeitsstufen!$H$7:$H$19)))</f>
        <v/>
      </c>
      <c r="AE729" s="211"/>
      <c r="AG729" s="221" t="str">
        <f t="shared" si="99"/>
        <v/>
      </c>
      <c r="AH729" s="222" t="str">
        <f t="shared" si="101"/>
        <v/>
      </c>
      <c r="AI729" s="220">
        <f t="shared" si="106"/>
        <v>4</v>
      </c>
      <c r="AJ729" s="222">
        <f t="shared" si="102"/>
        <v>0</v>
      </c>
      <c r="AK729" s="299" t="str">
        <f>IF(ISERROR(LOOKUP(E729,WKNrListe,Übersicht!$R$7:$R$46)),"-",LOOKUP(E729,WKNrListe,Übersicht!$R$7:$R$46))</f>
        <v>-</v>
      </c>
      <c r="AL729" s="299" t="str">
        <f t="shared" si="105"/>
        <v>-</v>
      </c>
      <c r="AM729" s="303"/>
      <c r="AN729" s="174" t="str">
        <f t="shared" si="98"/>
        <v>Leer</v>
      </c>
    </row>
    <row r="730" spans="1:40" s="174" customFormat="1" ht="15" customHeight="1">
      <c r="A730" s="63"/>
      <c r="B730" s="63"/>
      <c r="C730" s="84"/>
      <c r="D730" s="85"/>
      <c r="E730" s="62"/>
      <c r="F730" s="62"/>
      <c r="G730" s="62"/>
      <c r="H730" s="62"/>
      <c r="I730" s="62"/>
      <c r="J730" s="62"/>
      <c r="K730" s="62"/>
      <c r="L730" s="62"/>
      <c r="M730" s="62"/>
      <c r="N730" s="62"/>
      <c r="O730" s="62"/>
      <c r="P730" s="62"/>
      <c r="Q730" s="62"/>
      <c r="R730" s="62"/>
      <c r="S730" s="258"/>
      <c r="T730" s="248" t="str">
        <f t="shared" si="103"/>
        <v/>
      </c>
      <c r="U730" s="249" t="str">
        <f t="shared" si="104"/>
        <v/>
      </c>
      <c r="V730" s="294" t="str">
        <f t="shared" si="100"/>
        <v/>
      </c>
      <c r="W730" s="294" t="str">
        <f>IF(((E730="")+(F730="")),"",IF(VLOOKUP(F730,Mannschaften!$A$1:$B$54,2,FALSE)&lt;&gt;E730,"Reiter Mannschaften füllen",""))</f>
        <v/>
      </c>
      <c r="X730" s="248" t="str">
        <f>IF(ISBLANK(C730),"",IF((U730&gt;(LOOKUP(E730,WKNrListe,Übersicht!$O$7:$O$46)))+(U730&lt;(LOOKUP(E730,WKNrListe,Übersicht!$P$7:$P$46))),"JG falsch",""))</f>
        <v/>
      </c>
      <c r="Y730" s="255" t="str">
        <f>IF((A730="")*(B730=""),"",IF(ISERROR(MATCH(E730,WKNrListe,0)),"WK falsch",LOOKUP(E730,WKNrListe,Übersicht!$B$7:$B$46)))</f>
        <v/>
      </c>
      <c r="Z730" s="269" t="str">
        <f>IF(((AJ730=0)*(AH730&lt;&gt;"")*(AK730="-"))+((AJ730&lt;&gt;0)*(AH730&lt;&gt;"")*(AK730="-")),IF(AG730="X",Übersicht!$C$70,Übersicht!$C$69),"-")</f>
        <v>-</v>
      </c>
      <c r="AA730" s="252" t="str">
        <f>IF((($A730="")*($B730=""))+((MID($Y730,1,4)&lt;&gt;"Wahl")*(Deckblatt!$C$14='WK-Vorlagen'!$C$82))+(Deckblatt!$C$14&lt;&gt;'WK-Vorlagen'!$C$82),"",IF(ISERROR(MATCH(VALUE(MID(G730,1,2)),Schwierigkeitsstufen!$G$7:$G$19,0)),"Gerät falsch",LOOKUP(VALUE(MID(G730,1,2)),Schwierigkeitsstufen!$G$7:$G$19,Schwierigkeitsstufen!$H$7:$H$19)))</f>
        <v/>
      </c>
      <c r="AB730" s="250" t="str">
        <f>IF((($A730="")*($B730=""))+((MID($Y730,1,4)&lt;&gt;"Wahl")*(Deckblatt!$C$14='WK-Vorlagen'!$C$82))+(Deckblatt!$C$14&lt;&gt;'WK-Vorlagen'!$C$82),"",IF(ISERROR(MATCH(VALUE(MID(H730,1,2)),Schwierigkeitsstufen!$G$7:$G$19,0)),"Gerät falsch",LOOKUP(VALUE(MID(H730,1,2)),Schwierigkeitsstufen!$G$7:$G$19,Schwierigkeitsstufen!$H$7:$H$19)))</f>
        <v/>
      </c>
      <c r="AC730" s="250" t="str">
        <f>IF((($A730="")*($B730=""))+((MID($Y730,1,4)&lt;&gt;"Wahl")*(Deckblatt!$C$14='WK-Vorlagen'!$C$82))+(Deckblatt!$C$14&lt;&gt;'WK-Vorlagen'!$C$82),"",IF(ISERROR(MATCH(VALUE(MID(I730,1,2)),Schwierigkeitsstufen!$G$7:$G$19,0)),"Gerät falsch",LOOKUP(VALUE(MID(I730,1,2)),Schwierigkeitsstufen!$G$7:$G$19,Schwierigkeitsstufen!$H$7:$H$19)))</f>
        <v/>
      </c>
      <c r="AD730" s="251" t="str">
        <f>IF((($A730="")*($B730=""))+((MID($Y730,1,4)&lt;&gt;"Wahl")*(Deckblatt!$C$14='WK-Vorlagen'!$C$82))+(Deckblatt!$C$14&lt;&gt;'WK-Vorlagen'!$C$82),"",IF(ISERROR(MATCH(VALUE(MID(J730,1,2)),Schwierigkeitsstufen!$G$7:$G$19,0)),"Gerät falsch",LOOKUP(VALUE(MID(J730,1,2)),Schwierigkeitsstufen!$G$7:$G$19,Schwierigkeitsstufen!$H$7:$H$19)))</f>
        <v/>
      </c>
      <c r="AE730" s="211"/>
      <c r="AG730" s="221" t="str">
        <f t="shared" si="99"/>
        <v/>
      </c>
      <c r="AH730" s="222" t="str">
        <f t="shared" si="101"/>
        <v/>
      </c>
      <c r="AI730" s="220">
        <f t="shared" si="106"/>
        <v>4</v>
      </c>
      <c r="AJ730" s="222">
        <f t="shared" si="102"/>
        <v>0</v>
      </c>
      <c r="AK730" s="299" t="str">
        <f>IF(ISERROR(LOOKUP(E730,WKNrListe,Übersicht!$R$7:$R$46)),"-",LOOKUP(E730,WKNrListe,Übersicht!$R$7:$R$46))</f>
        <v>-</v>
      </c>
      <c r="AL730" s="299" t="str">
        <f t="shared" si="105"/>
        <v>-</v>
      </c>
      <c r="AM730" s="303"/>
      <c r="AN730" s="174" t="str">
        <f t="shared" si="98"/>
        <v>Leer</v>
      </c>
    </row>
    <row r="731" spans="1:40" s="174" customFormat="1" ht="15" customHeight="1">
      <c r="A731" s="63"/>
      <c r="B731" s="63"/>
      <c r="C731" s="84"/>
      <c r="D731" s="85"/>
      <c r="E731" s="62"/>
      <c r="F731" s="62"/>
      <c r="G731" s="62"/>
      <c r="H731" s="62"/>
      <c r="I731" s="62"/>
      <c r="J731" s="62"/>
      <c r="K731" s="62"/>
      <c r="L731" s="62"/>
      <c r="M731" s="62"/>
      <c r="N731" s="62"/>
      <c r="O731" s="62"/>
      <c r="P731" s="62"/>
      <c r="Q731" s="62"/>
      <c r="R731" s="62"/>
      <c r="S731" s="258"/>
      <c r="T731" s="248" t="str">
        <f t="shared" si="103"/>
        <v/>
      </c>
      <c r="U731" s="249" t="str">
        <f t="shared" si="104"/>
        <v/>
      </c>
      <c r="V731" s="294" t="str">
        <f t="shared" si="100"/>
        <v/>
      </c>
      <c r="W731" s="294" t="str">
        <f>IF(((E731="")+(F731="")),"",IF(VLOOKUP(F731,Mannschaften!$A$1:$B$54,2,FALSE)&lt;&gt;E731,"Reiter Mannschaften füllen",""))</f>
        <v/>
      </c>
      <c r="X731" s="248" t="str">
        <f>IF(ISBLANK(C731),"",IF((U731&gt;(LOOKUP(E731,WKNrListe,Übersicht!$O$7:$O$46)))+(U731&lt;(LOOKUP(E731,WKNrListe,Übersicht!$P$7:$P$46))),"JG falsch",""))</f>
        <v/>
      </c>
      <c r="Y731" s="255" t="str">
        <f>IF((A731="")*(B731=""),"",IF(ISERROR(MATCH(E731,WKNrListe,0)),"WK falsch",LOOKUP(E731,WKNrListe,Übersicht!$B$7:$B$46)))</f>
        <v/>
      </c>
      <c r="Z731" s="269" t="str">
        <f>IF(((AJ731=0)*(AH731&lt;&gt;"")*(AK731="-"))+((AJ731&lt;&gt;0)*(AH731&lt;&gt;"")*(AK731="-")),IF(AG731="X",Übersicht!$C$70,Übersicht!$C$69),"-")</f>
        <v>-</v>
      </c>
      <c r="AA731" s="252" t="str">
        <f>IF((($A731="")*($B731=""))+((MID($Y731,1,4)&lt;&gt;"Wahl")*(Deckblatt!$C$14='WK-Vorlagen'!$C$82))+(Deckblatt!$C$14&lt;&gt;'WK-Vorlagen'!$C$82),"",IF(ISERROR(MATCH(VALUE(MID(G731,1,2)),Schwierigkeitsstufen!$G$7:$G$19,0)),"Gerät falsch",LOOKUP(VALUE(MID(G731,1,2)),Schwierigkeitsstufen!$G$7:$G$19,Schwierigkeitsstufen!$H$7:$H$19)))</f>
        <v/>
      </c>
      <c r="AB731" s="250" t="str">
        <f>IF((($A731="")*($B731=""))+((MID($Y731,1,4)&lt;&gt;"Wahl")*(Deckblatt!$C$14='WK-Vorlagen'!$C$82))+(Deckblatt!$C$14&lt;&gt;'WK-Vorlagen'!$C$82),"",IF(ISERROR(MATCH(VALUE(MID(H731,1,2)),Schwierigkeitsstufen!$G$7:$G$19,0)),"Gerät falsch",LOOKUP(VALUE(MID(H731,1,2)),Schwierigkeitsstufen!$G$7:$G$19,Schwierigkeitsstufen!$H$7:$H$19)))</f>
        <v/>
      </c>
      <c r="AC731" s="250" t="str">
        <f>IF((($A731="")*($B731=""))+((MID($Y731,1,4)&lt;&gt;"Wahl")*(Deckblatt!$C$14='WK-Vorlagen'!$C$82))+(Deckblatt!$C$14&lt;&gt;'WK-Vorlagen'!$C$82),"",IF(ISERROR(MATCH(VALUE(MID(I731,1,2)),Schwierigkeitsstufen!$G$7:$G$19,0)),"Gerät falsch",LOOKUP(VALUE(MID(I731,1,2)),Schwierigkeitsstufen!$G$7:$G$19,Schwierigkeitsstufen!$H$7:$H$19)))</f>
        <v/>
      </c>
      <c r="AD731" s="251" t="str">
        <f>IF((($A731="")*($B731=""))+((MID($Y731,1,4)&lt;&gt;"Wahl")*(Deckblatt!$C$14='WK-Vorlagen'!$C$82))+(Deckblatt!$C$14&lt;&gt;'WK-Vorlagen'!$C$82),"",IF(ISERROR(MATCH(VALUE(MID(J731,1,2)),Schwierigkeitsstufen!$G$7:$G$19,0)),"Gerät falsch",LOOKUP(VALUE(MID(J731,1,2)),Schwierigkeitsstufen!$G$7:$G$19,Schwierigkeitsstufen!$H$7:$H$19)))</f>
        <v/>
      </c>
      <c r="AE731" s="211"/>
      <c r="AG731" s="221" t="str">
        <f t="shared" si="99"/>
        <v/>
      </c>
      <c r="AH731" s="222" t="str">
        <f t="shared" si="101"/>
        <v/>
      </c>
      <c r="AI731" s="220">
        <f t="shared" si="106"/>
        <v>4</v>
      </c>
      <c r="AJ731" s="222">
        <f t="shared" si="102"/>
        <v>0</v>
      </c>
      <c r="AK731" s="299" t="str">
        <f>IF(ISERROR(LOOKUP(E731,WKNrListe,Übersicht!$R$7:$R$46)),"-",LOOKUP(E731,WKNrListe,Übersicht!$R$7:$R$46))</f>
        <v>-</v>
      </c>
      <c r="AL731" s="299" t="str">
        <f t="shared" si="105"/>
        <v>-</v>
      </c>
      <c r="AM731" s="303"/>
      <c r="AN731" s="174" t="str">
        <f t="shared" si="98"/>
        <v>Leer</v>
      </c>
    </row>
    <row r="732" spans="1:40" s="174" customFormat="1" ht="15" customHeight="1">
      <c r="A732" s="63"/>
      <c r="B732" s="63"/>
      <c r="C732" s="84"/>
      <c r="D732" s="85"/>
      <c r="E732" s="62"/>
      <c r="F732" s="62"/>
      <c r="G732" s="62"/>
      <c r="H732" s="62"/>
      <c r="I732" s="62"/>
      <c r="J732" s="62"/>
      <c r="K732" s="62"/>
      <c r="L732" s="62"/>
      <c r="M732" s="62"/>
      <c r="N732" s="62"/>
      <c r="O732" s="62"/>
      <c r="P732" s="62"/>
      <c r="Q732" s="62"/>
      <c r="R732" s="62"/>
      <c r="S732" s="258"/>
      <c r="T732" s="248" t="str">
        <f t="shared" si="103"/>
        <v/>
      </c>
      <c r="U732" s="249" t="str">
        <f t="shared" si="104"/>
        <v/>
      </c>
      <c r="V732" s="294" t="str">
        <f t="shared" si="100"/>
        <v/>
      </c>
      <c r="W732" s="294" t="str">
        <f>IF(((E732="")+(F732="")),"",IF(VLOOKUP(F732,Mannschaften!$A$1:$B$54,2,FALSE)&lt;&gt;E732,"Reiter Mannschaften füllen",""))</f>
        <v/>
      </c>
      <c r="X732" s="248" t="str">
        <f>IF(ISBLANK(C732),"",IF((U732&gt;(LOOKUP(E732,WKNrListe,Übersicht!$O$7:$O$46)))+(U732&lt;(LOOKUP(E732,WKNrListe,Übersicht!$P$7:$P$46))),"JG falsch",""))</f>
        <v/>
      </c>
      <c r="Y732" s="255" t="str">
        <f>IF((A732="")*(B732=""),"",IF(ISERROR(MATCH(E732,WKNrListe,0)),"WK falsch",LOOKUP(E732,WKNrListe,Übersicht!$B$7:$B$46)))</f>
        <v/>
      </c>
      <c r="Z732" s="269" t="str">
        <f>IF(((AJ732=0)*(AH732&lt;&gt;"")*(AK732="-"))+((AJ732&lt;&gt;0)*(AH732&lt;&gt;"")*(AK732="-")),IF(AG732="X",Übersicht!$C$70,Übersicht!$C$69),"-")</f>
        <v>-</v>
      </c>
      <c r="AA732" s="252" t="str">
        <f>IF((($A732="")*($B732=""))+((MID($Y732,1,4)&lt;&gt;"Wahl")*(Deckblatt!$C$14='WK-Vorlagen'!$C$82))+(Deckblatt!$C$14&lt;&gt;'WK-Vorlagen'!$C$82),"",IF(ISERROR(MATCH(VALUE(MID(G732,1,2)),Schwierigkeitsstufen!$G$7:$G$19,0)),"Gerät falsch",LOOKUP(VALUE(MID(G732,1,2)),Schwierigkeitsstufen!$G$7:$G$19,Schwierigkeitsstufen!$H$7:$H$19)))</f>
        <v/>
      </c>
      <c r="AB732" s="250" t="str">
        <f>IF((($A732="")*($B732=""))+((MID($Y732,1,4)&lt;&gt;"Wahl")*(Deckblatt!$C$14='WK-Vorlagen'!$C$82))+(Deckblatt!$C$14&lt;&gt;'WK-Vorlagen'!$C$82),"",IF(ISERROR(MATCH(VALUE(MID(H732,1,2)),Schwierigkeitsstufen!$G$7:$G$19,0)),"Gerät falsch",LOOKUP(VALUE(MID(H732,1,2)),Schwierigkeitsstufen!$G$7:$G$19,Schwierigkeitsstufen!$H$7:$H$19)))</f>
        <v/>
      </c>
      <c r="AC732" s="250" t="str">
        <f>IF((($A732="")*($B732=""))+((MID($Y732,1,4)&lt;&gt;"Wahl")*(Deckblatt!$C$14='WK-Vorlagen'!$C$82))+(Deckblatt!$C$14&lt;&gt;'WK-Vorlagen'!$C$82),"",IF(ISERROR(MATCH(VALUE(MID(I732,1,2)),Schwierigkeitsstufen!$G$7:$G$19,0)),"Gerät falsch",LOOKUP(VALUE(MID(I732,1,2)),Schwierigkeitsstufen!$G$7:$G$19,Schwierigkeitsstufen!$H$7:$H$19)))</f>
        <v/>
      </c>
      <c r="AD732" s="251" t="str">
        <f>IF((($A732="")*($B732=""))+((MID($Y732,1,4)&lt;&gt;"Wahl")*(Deckblatt!$C$14='WK-Vorlagen'!$C$82))+(Deckblatt!$C$14&lt;&gt;'WK-Vorlagen'!$C$82),"",IF(ISERROR(MATCH(VALUE(MID(J732,1,2)),Schwierigkeitsstufen!$G$7:$G$19,0)),"Gerät falsch",LOOKUP(VALUE(MID(J732,1,2)),Schwierigkeitsstufen!$G$7:$G$19,Schwierigkeitsstufen!$H$7:$H$19)))</f>
        <v/>
      </c>
      <c r="AE732" s="211"/>
      <c r="AG732" s="221" t="str">
        <f t="shared" si="99"/>
        <v/>
      </c>
      <c r="AH732" s="222" t="str">
        <f t="shared" si="101"/>
        <v/>
      </c>
      <c r="AI732" s="220">
        <f t="shared" si="106"/>
        <v>4</v>
      </c>
      <c r="AJ732" s="222">
        <f t="shared" si="102"/>
        <v>0</v>
      </c>
      <c r="AK732" s="299" t="str">
        <f>IF(ISERROR(LOOKUP(E732,WKNrListe,Übersicht!$R$7:$R$46)),"-",LOOKUP(E732,WKNrListe,Übersicht!$R$7:$R$46))</f>
        <v>-</v>
      </c>
      <c r="AL732" s="299" t="str">
        <f t="shared" si="105"/>
        <v>-</v>
      </c>
      <c r="AM732" s="303"/>
      <c r="AN732" s="174" t="str">
        <f t="shared" si="98"/>
        <v>Leer</v>
      </c>
    </row>
    <row r="733" spans="1:40" s="174" customFormat="1" ht="15" customHeight="1">
      <c r="A733" s="63"/>
      <c r="B733" s="63"/>
      <c r="C733" s="84"/>
      <c r="D733" s="85"/>
      <c r="E733" s="62"/>
      <c r="F733" s="62"/>
      <c r="G733" s="62"/>
      <c r="H733" s="62"/>
      <c r="I733" s="62"/>
      <c r="J733" s="62"/>
      <c r="K733" s="62"/>
      <c r="L733" s="62"/>
      <c r="M733" s="62"/>
      <c r="N733" s="62"/>
      <c r="O733" s="62"/>
      <c r="P733" s="62"/>
      <c r="Q733" s="62"/>
      <c r="R733" s="62"/>
      <c r="S733" s="258"/>
      <c r="T733" s="248" t="str">
        <f t="shared" si="103"/>
        <v/>
      </c>
      <c r="U733" s="249" t="str">
        <f t="shared" si="104"/>
        <v/>
      </c>
      <c r="V733" s="294" t="str">
        <f t="shared" si="100"/>
        <v/>
      </c>
      <c r="W733" s="294" t="str">
        <f>IF(((E733="")+(F733="")),"",IF(VLOOKUP(F733,Mannschaften!$A$1:$B$54,2,FALSE)&lt;&gt;E733,"Reiter Mannschaften füllen",""))</f>
        <v/>
      </c>
      <c r="X733" s="248" t="str">
        <f>IF(ISBLANK(C733),"",IF((U733&gt;(LOOKUP(E733,WKNrListe,Übersicht!$O$7:$O$46)))+(U733&lt;(LOOKUP(E733,WKNrListe,Übersicht!$P$7:$P$46))),"JG falsch",""))</f>
        <v/>
      </c>
      <c r="Y733" s="255" t="str">
        <f>IF((A733="")*(B733=""),"",IF(ISERROR(MATCH(E733,WKNrListe,0)),"WK falsch",LOOKUP(E733,WKNrListe,Übersicht!$B$7:$B$46)))</f>
        <v/>
      </c>
      <c r="Z733" s="269" t="str">
        <f>IF(((AJ733=0)*(AH733&lt;&gt;"")*(AK733="-"))+((AJ733&lt;&gt;0)*(AH733&lt;&gt;"")*(AK733="-")),IF(AG733="X",Übersicht!$C$70,Übersicht!$C$69),"-")</f>
        <v>-</v>
      </c>
      <c r="AA733" s="252" t="str">
        <f>IF((($A733="")*($B733=""))+((MID($Y733,1,4)&lt;&gt;"Wahl")*(Deckblatt!$C$14='WK-Vorlagen'!$C$82))+(Deckblatt!$C$14&lt;&gt;'WK-Vorlagen'!$C$82),"",IF(ISERROR(MATCH(VALUE(MID(G733,1,2)),Schwierigkeitsstufen!$G$7:$G$19,0)),"Gerät falsch",LOOKUP(VALUE(MID(G733,1,2)),Schwierigkeitsstufen!$G$7:$G$19,Schwierigkeitsstufen!$H$7:$H$19)))</f>
        <v/>
      </c>
      <c r="AB733" s="250" t="str">
        <f>IF((($A733="")*($B733=""))+((MID($Y733,1,4)&lt;&gt;"Wahl")*(Deckblatt!$C$14='WK-Vorlagen'!$C$82))+(Deckblatt!$C$14&lt;&gt;'WK-Vorlagen'!$C$82),"",IF(ISERROR(MATCH(VALUE(MID(H733,1,2)),Schwierigkeitsstufen!$G$7:$G$19,0)),"Gerät falsch",LOOKUP(VALUE(MID(H733,1,2)),Schwierigkeitsstufen!$G$7:$G$19,Schwierigkeitsstufen!$H$7:$H$19)))</f>
        <v/>
      </c>
      <c r="AC733" s="250" t="str">
        <f>IF((($A733="")*($B733=""))+((MID($Y733,1,4)&lt;&gt;"Wahl")*(Deckblatt!$C$14='WK-Vorlagen'!$C$82))+(Deckblatt!$C$14&lt;&gt;'WK-Vorlagen'!$C$82),"",IF(ISERROR(MATCH(VALUE(MID(I733,1,2)),Schwierigkeitsstufen!$G$7:$G$19,0)),"Gerät falsch",LOOKUP(VALUE(MID(I733,1,2)),Schwierigkeitsstufen!$G$7:$G$19,Schwierigkeitsstufen!$H$7:$H$19)))</f>
        <v/>
      </c>
      <c r="AD733" s="251" t="str">
        <f>IF((($A733="")*($B733=""))+((MID($Y733,1,4)&lt;&gt;"Wahl")*(Deckblatt!$C$14='WK-Vorlagen'!$C$82))+(Deckblatt!$C$14&lt;&gt;'WK-Vorlagen'!$C$82),"",IF(ISERROR(MATCH(VALUE(MID(J733,1,2)),Schwierigkeitsstufen!$G$7:$G$19,0)),"Gerät falsch",LOOKUP(VALUE(MID(J733,1,2)),Schwierigkeitsstufen!$G$7:$G$19,Schwierigkeitsstufen!$H$7:$H$19)))</f>
        <v/>
      </c>
      <c r="AE733" s="211"/>
      <c r="AG733" s="221" t="str">
        <f t="shared" si="99"/>
        <v/>
      </c>
      <c r="AH733" s="222" t="str">
        <f t="shared" si="101"/>
        <v/>
      </c>
      <c r="AI733" s="220">
        <f t="shared" si="106"/>
        <v>4</v>
      </c>
      <c r="AJ733" s="222">
        <f t="shared" si="102"/>
        <v>0</v>
      </c>
      <c r="AK733" s="299" t="str">
        <f>IF(ISERROR(LOOKUP(E733,WKNrListe,Übersicht!$R$7:$R$46)),"-",LOOKUP(E733,WKNrListe,Übersicht!$R$7:$R$46))</f>
        <v>-</v>
      </c>
      <c r="AL733" s="299" t="str">
        <f t="shared" si="105"/>
        <v>-</v>
      </c>
      <c r="AM733" s="303"/>
      <c r="AN733" s="174" t="str">
        <f t="shared" si="98"/>
        <v>Leer</v>
      </c>
    </row>
    <row r="734" spans="1:40" s="174" customFormat="1" ht="15" customHeight="1">
      <c r="A734" s="63"/>
      <c r="B734" s="63"/>
      <c r="C734" s="84"/>
      <c r="D734" s="85"/>
      <c r="E734" s="62"/>
      <c r="F734" s="62"/>
      <c r="G734" s="62"/>
      <c r="H734" s="62"/>
      <c r="I734" s="62"/>
      <c r="J734" s="62"/>
      <c r="K734" s="62"/>
      <c r="L734" s="62"/>
      <c r="M734" s="62"/>
      <c r="N734" s="62"/>
      <c r="O734" s="62"/>
      <c r="P734" s="62"/>
      <c r="Q734" s="62"/>
      <c r="R734" s="62"/>
      <c r="S734" s="258"/>
      <c r="T734" s="248" t="str">
        <f t="shared" si="103"/>
        <v/>
      </c>
      <c r="U734" s="249" t="str">
        <f t="shared" si="104"/>
        <v/>
      </c>
      <c r="V734" s="294" t="str">
        <f t="shared" si="100"/>
        <v/>
      </c>
      <c r="W734" s="294" t="str">
        <f>IF(((E734="")+(F734="")),"",IF(VLOOKUP(F734,Mannschaften!$A$1:$B$54,2,FALSE)&lt;&gt;E734,"Reiter Mannschaften füllen",""))</f>
        <v/>
      </c>
      <c r="X734" s="248" t="str">
        <f>IF(ISBLANK(C734),"",IF((U734&gt;(LOOKUP(E734,WKNrListe,Übersicht!$O$7:$O$46)))+(U734&lt;(LOOKUP(E734,WKNrListe,Übersicht!$P$7:$P$46))),"JG falsch",""))</f>
        <v/>
      </c>
      <c r="Y734" s="255" t="str">
        <f>IF((A734="")*(B734=""),"",IF(ISERROR(MATCH(E734,WKNrListe,0)),"WK falsch",LOOKUP(E734,WKNrListe,Übersicht!$B$7:$B$46)))</f>
        <v/>
      </c>
      <c r="Z734" s="269" t="str">
        <f>IF(((AJ734=0)*(AH734&lt;&gt;"")*(AK734="-"))+((AJ734&lt;&gt;0)*(AH734&lt;&gt;"")*(AK734="-")),IF(AG734="X",Übersicht!$C$70,Übersicht!$C$69),"-")</f>
        <v>-</v>
      </c>
      <c r="AA734" s="252" t="str">
        <f>IF((($A734="")*($B734=""))+((MID($Y734,1,4)&lt;&gt;"Wahl")*(Deckblatt!$C$14='WK-Vorlagen'!$C$82))+(Deckblatt!$C$14&lt;&gt;'WK-Vorlagen'!$C$82),"",IF(ISERROR(MATCH(VALUE(MID(G734,1,2)),Schwierigkeitsstufen!$G$7:$G$19,0)),"Gerät falsch",LOOKUP(VALUE(MID(G734,1,2)),Schwierigkeitsstufen!$G$7:$G$19,Schwierigkeitsstufen!$H$7:$H$19)))</f>
        <v/>
      </c>
      <c r="AB734" s="250" t="str">
        <f>IF((($A734="")*($B734=""))+((MID($Y734,1,4)&lt;&gt;"Wahl")*(Deckblatt!$C$14='WK-Vorlagen'!$C$82))+(Deckblatt!$C$14&lt;&gt;'WK-Vorlagen'!$C$82),"",IF(ISERROR(MATCH(VALUE(MID(H734,1,2)),Schwierigkeitsstufen!$G$7:$G$19,0)),"Gerät falsch",LOOKUP(VALUE(MID(H734,1,2)),Schwierigkeitsstufen!$G$7:$G$19,Schwierigkeitsstufen!$H$7:$H$19)))</f>
        <v/>
      </c>
      <c r="AC734" s="250" t="str">
        <f>IF((($A734="")*($B734=""))+((MID($Y734,1,4)&lt;&gt;"Wahl")*(Deckblatt!$C$14='WK-Vorlagen'!$C$82))+(Deckblatt!$C$14&lt;&gt;'WK-Vorlagen'!$C$82),"",IF(ISERROR(MATCH(VALUE(MID(I734,1,2)),Schwierigkeitsstufen!$G$7:$G$19,0)),"Gerät falsch",LOOKUP(VALUE(MID(I734,1,2)),Schwierigkeitsstufen!$G$7:$G$19,Schwierigkeitsstufen!$H$7:$H$19)))</f>
        <v/>
      </c>
      <c r="AD734" s="251" t="str">
        <f>IF((($A734="")*($B734=""))+((MID($Y734,1,4)&lt;&gt;"Wahl")*(Deckblatt!$C$14='WK-Vorlagen'!$C$82))+(Deckblatt!$C$14&lt;&gt;'WK-Vorlagen'!$C$82),"",IF(ISERROR(MATCH(VALUE(MID(J734,1,2)),Schwierigkeitsstufen!$G$7:$G$19,0)),"Gerät falsch",LOOKUP(VALUE(MID(J734,1,2)),Schwierigkeitsstufen!$G$7:$G$19,Schwierigkeitsstufen!$H$7:$H$19)))</f>
        <v/>
      </c>
      <c r="AE734" s="211"/>
      <c r="AG734" s="221" t="str">
        <f t="shared" si="99"/>
        <v/>
      </c>
      <c r="AH734" s="222" t="str">
        <f t="shared" si="101"/>
        <v/>
      </c>
      <c r="AI734" s="220">
        <f t="shared" si="106"/>
        <v>4</v>
      </c>
      <c r="AJ734" s="222">
        <f t="shared" si="102"/>
        <v>0</v>
      </c>
      <c r="AK734" s="299" t="str">
        <f>IF(ISERROR(LOOKUP(E734,WKNrListe,Übersicht!$R$7:$R$46)),"-",LOOKUP(E734,WKNrListe,Übersicht!$R$7:$R$46))</f>
        <v>-</v>
      </c>
      <c r="AL734" s="299" t="str">
        <f t="shared" si="105"/>
        <v>-</v>
      </c>
      <c r="AM734" s="303"/>
      <c r="AN734" s="174" t="str">
        <f t="shared" si="98"/>
        <v>Leer</v>
      </c>
    </row>
    <row r="735" spans="1:40" s="174" customFormat="1" ht="15" customHeight="1">
      <c r="A735" s="63"/>
      <c r="B735" s="63"/>
      <c r="C735" s="84"/>
      <c r="D735" s="85"/>
      <c r="E735" s="62"/>
      <c r="F735" s="62"/>
      <c r="G735" s="62"/>
      <c r="H735" s="62"/>
      <c r="I735" s="62"/>
      <c r="J735" s="62"/>
      <c r="K735" s="62"/>
      <c r="L735" s="62"/>
      <c r="M735" s="62"/>
      <c r="N735" s="62"/>
      <c r="O735" s="62"/>
      <c r="P735" s="62"/>
      <c r="Q735" s="62"/>
      <c r="R735" s="62"/>
      <c r="S735" s="258"/>
      <c r="T735" s="248" t="str">
        <f t="shared" si="103"/>
        <v/>
      </c>
      <c r="U735" s="249" t="str">
        <f t="shared" si="104"/>
        <v/>
      </c>
      <c r="V735" s="294" t="str">
        <f t="shared" si="100"/>
        <v/>
      </c>
      <c r="W735" s="294" t="str">
        <f>IF(((E735="")+(F735="")),"",IF(VLOOKUP(F735,Mannschaften!$A$1:$B$54,2,FALSE)&lt;&gt;E735,"Reiter Mannschaften füllen",""))</f>
        <v/>
      </c>
      <c r="X735" s="248" t="str">
        <f>IF(ISBLANK(C735),"",IF((U735&gt;(LOOKUP(E735,WKNrListe,Übersicht!$O$7:$O$46)))+(U735&lt;(LOOKUP(E735,WKNrListe,Übersicht!$P$7:$P$46))),"JG falsch",""))</f>
        <v/>
      </c>
      <c r="Y735" s="255" t="str">
        <f>IF((A735="")*(B735=""),"",IF(ISERROR(MATCH(E735,WKNrListe,0)),"WK falsch",LOOKUP(E735,WKNrListe,Übersicht!$B$7:$B$46)))</f>
        <v/>
      </c>
      <c r="Z735" s="269" t="str">
        <f>IF(((AJ735=0)*(AH735&lt;&gt;"")*(AK735="-"))+((AJ735&lt;&gt;0)*(AH735&lt;&gt;"")*(AK735="-")),IF(AG735="X",Übersicht!$C$70,Übersicht!$C$69),"-")</f>
        <v>-</v>
      </c>
      <c r="AA735" s="252" t="str">
        <f>IF((($A735="")*($B735=""))+((MID($Y735,1,4)&lt;&gt;"Wahl")*(Deckblatt!$C$14='WK-Vorlagen'!$C$82))+(Deckblatt!$C$14&lt;&gt;'WK-Vorlagen'!$C$82),"",IF(ISERROR(MATCH(VALUE(MID(G735,1,2)),Schwierigkeitsstufen!$G$7:$G$19,0)),"Gerät falsch",LOOKUP(VALUE(MID(G735,1,2)),Schwierigkeitsstufen!$G$7:$G$19,Schwierigkeitsstufen!$H$7:$H$19)))</f>
        <v/>
      </c>
      <c r="AB735" s="250" t="str">
        <f>IF((($A735="")*($B735=""))+((MID($Y735,1,4)&lt;&gt;"Wahl")*(Deckblatt!$C$14='WK-Vorlagen'!$C$82))+(Deckblatt!$C$14&lt;&gt;'WK-Vorlagen'!$C$82),"",IF(ISERROR(MATCH(VALUE(MID(H735,1,2)),Schwierigkeitsstufen!$G$7:$G$19,0)),"Gerät falsch",LOOKUP(VALUE(MID(H735,1,2)),Schwierigkeitsstufen!$G$7:$G$19,Schwierigkeitsstufen!$H$7:$H$19)))</f>
        <v/>
      </c>
      <c r="AC735" s="250" t="str">
        <f>IF((($A735="")*($B735=""))+((MID($Y735,1,4)&lt;&gt;"Wahl")*(Deckblatt!$C$14='WK-Vorlagen'!$C$82))+(Deckblatt!$C$14&lt;&gt;'WK-Vorlagen'!$C$82),"",IF(ISERROR(MATCH(VALUE(MID(I735,1,2)),Schwierigkeitsstufen!$G$7:$G$19,0)),"Gerät falsch",LOOKUP(VALUE(MID(I735,1,2)),Schwierigkeitsstufen!$G$7:$G$19,Schwierigkeitsstufen!$H$7:$H$19)))</f>
        <v/>
      </c>
      <c r="AD735" s="251" t="str">
        <f>IF((($A735="")*($B735=""))+((MID($Y735,1,4)&lt;&gt;"Wahl")*(Deckblatt!$C$14='WK-Vorlagen'!$C$82))+(Deckblatt!$C$14&lt;&gt;'WK-Vorlagen'!$C$82),"",IF(ISERROR(MATCH(VALUE(MID(J735,1,2)),Schwierigkeitsstufen!$G$7:$G$19,0)),"Gerät falsch",LOOKUP(VALUE(MID(J735,1,2)),Schwierigkeitsstufen!$G$7:$G$19,Schwierigkeitsstufen!$H$7:$H$19)))</f>
        <v/>
      </c>
      <c r="AE735" s="211"/>
      <c r="AG735" s="221" t="str">
        <f t="shared" si="99"/>
        <v/>
      </c>
      <c r="AH735" s="222" t="str">
        <f t="shared" si="101"/>
        <v/>
      </c>
      <c r="AI735" s="220">
        <f t="shared" si="106"/>
        <v>4</v>
      </c>
      <c r="AJ735" s="222">
        <f t="shared" si="102"/>
        <v>0</v>
      </c>
      <c r="AK735" s="299" t="str">
        <f>IF(ISERROR(LOOKUP(E735,WKNrListe,Übersicht!$R$7:$R$46)),"-",LOOKUP(E735,WKNrListe,Übersicht!$R$7:$R$46))</f>
        <v>-</v>
      </c>
      <c r="AL735" s="299" t="str">
        <f t="shared" si="105"/>
        <v>-</v>
      </c>
      <c r="AM735" s="303"/>
      <c r="AN735" s="174" t="str">
        <f t="shared" si="98"/>
        <v>Leer</v>
      </c>
    </row>
    <row r="736" spans="1:40" s="174" customFormat="1" ht="15" customHeight="1">
      <c r="A736" s="63"/>
      <c r="B736" s="63"/>
      <c r="C736" s="84"/>
      <c r="D736" s="85"/>
      <c r="E736" s="62"/>
      <c r="F736" s="62"/>
      <c r="G736" s="62"/>
      <c r="H736" s="62"/>
      <c r="I736" s="62"/>
      <c r="J736" s="62"/>
      <c r="K736" s="62"/>
      <c r="L736" s="62"/>
      <c r="M736" s="62"/>
      <c r="N736" s="62"/>
      <c r="O736" s="62"/>
      <c r="P736" s="62"/>
      <c r="Q736" s="62"/>
      <c r="R736" s="62"/>
      <c r="S736" s="258"/>
      <c r="T736" s="248" t="str">
        <f t="shared" si="103"/>
        <v/>
      </c>
      <c r="U736" s="249" t="str">
        <f t="shared" si="104"/>
        <v/>
      </c>
      <c r="V736" s="294" t="str">
        <f t="shared" si="100"/>
        <v/>
      </c>
      <c r="W736" s="294" t="str">
        <f>IF(((E736="")+(F736="")),"",IF(VLOOKUP(F736,Mannschaften!$A$1:$B$54,2,FALSE)&lt;&gt;E736,"Reiter Mannschaften füllen",""))</f>
        <v/>
      </c>
      <c r="X736" s="248" t="str">
        <f>IF(ISBLANK(C736),"",IF((U736&gt;(LOOKUP(E736,WKNrListe,Übersicht!$O$7:$O$46)))+(U736&lt;(LOOKUP(E736,WKNrListe,Übersicht!$P$7:$P$46))),"JG falsch",""))</f>
        <v/>
      </c>
      <c r="Y736" s="255" t="str">
        <f>IF((A736="")*(B736=""),"",IF(ISERROR(MATCH(E736,WKNrListe,0)),"WK falsch",LOOKUP(E736,WKNrListe,Übersicht!$B$7:$B$46)))</f>
        <v/>
      </c>
      <c r="Z736" s="269" t="str">
        <f>IF(((AJ736=0)*(AH736&lt;&gt;"")*(AK736="-"))+((AJ736&lt;&gt;0)*(AH736&lt;&gt;"")*(AK736="-")),IF(AG736="X",Übersicht!$C$70,Übersicht!$C$69),"-")</f>
        <v>-</v>
      </c>
      <c r="AA736" s="252" t="str">
        <f>IF((($A736="")*($B736=""))+((MID($Y736,1,4)&lt;&gt;"Wahl")*(Deckblatt!$C$14='WK-Vorlagen'!$C$82))+(Deckblatt!$C$14&lt;&gt;'WK-Vorlagen'!$C$82),"",IF(ISERROR(MATCH(VALUE(MID(G736,1,2)),Schwierigkeitsstufen!$G$7:$G$19,0)),"Gerät falsch",LOOKUP(VALUE(MID(G736,1,2)),Schwierigkeitsstufen!$G$7:$G$19,Schwierigkeitsstufen!$H$7:$H$19)))</f>
        <v/>
      </c>
      <c r="AB736" s="250" t="str">
        <f>IF((($A736="")*($B736=""))+((MID($Y736,1,4)&lt;&gt;"Wahl")*(Deckblatt!$C$14='WK-Vorlagen'!$C$82))+(Deckblatt!$C$14&lt;&gt;'WK-Vorlagen'!$C$82),"",IF(ISERROR(MATCH(VALUE(MID(H736,1,2)),Schwierigkeitsstufen!$G$7:$G$19,0)),"Gerät falsch",LOOKUP(VALUE(MID(H736,1,2)),Schwierigkeitsstufen!$G$7:$G$19,Schwierigkeitsstufen!$H$7:$H$19)))</f>
        <v/>
      </c>
      <c r="AC736" s="250" t="str">
        <f>IF((($A736="")*($B736=""))+((MID($Y736,1,4)&lt;&gt;"Wahl")*(Deckblatt!$C$14='WK-Vorlagen'!$C$82))+(Deckblatt!$C$14&lt;&gt;'WK-Vorlagen'!$C$82),"",IF(ISERROR(MATCH(VALUE(MID(I736,1,2)),Schwierigkeitsstufen!$G$7:$G$19,0)),"Gerät falsch",LOOKUP(VALUE(MID(I736,1,2)),Schwierigkeitsstufen!$G$7:$G$19,Schwierigkeitsstufen!$H$7:$H$19)))</f>
        <v/>
      </c>
      <c r="AD736" s="251" t="str">
        <f>IF((($A736="")*($B736=""))+((MID($Y736,1,4)&lt;&gt;"Wahl")*(Deckblatt!$C$14='WK-Vorlagen'!$C$82))+(Deckblatt!$C$14&lt;&gt;'WK-Vorlagen'!$C$82),"",IF(ISERROR(MATCH(VALUE(MID(J736,1,2)),Schwierigkeitsstufen!$G$7:$G$19,0)),"Gerät falsch",LOOKUP(VALUE(MID(J736,1,2)),Schwierigkeitsstufen!$G$7:$G$19,Schwierigkeitsstufen!$H$7:$H$19)))</f>
        <v/>
      </c>
      <c r="AE736" s="211"/>
      <c r="AG736" s="221" t="str">
        <f t="shared" si="99"/>
        <v/>
      </c>
      <c r="AH736" s="222" t="str">
        <f t="shared" si="101"/>
        <v/>
      </c>
      <c r="AI736" s="220">
        <f t="shared" si="106"/>
        <v>4</v>
      </c>
      <c r="AJ736" s="222">
        <f t="shared" si="102"/>
        <v>0</v>
      </c>
      <c r="AK736" s="299" t="str">
        <f>IF(ISERROR(LOOKUP(E736,WKNrListe,Übersicht!$R$7:$R$46)),"-",LOOKUP(E736,WKNrListe,Übersicht!$R$7:$R$46))</f>
        <v>-</v>
      </c>
      <c r="AL736" s="299" t="str">
        <f t="shared" si="105"/>
        <v>-</v>
      </c>
      <c r="AM736" s="303"/>
      <c r="AN736" s="174" t="str">
        <f t="shared" si="98"/>
        <v>Leer</v>
      </c>
    </row>
    <row r="737" spans="1:40" s="174" customFormat="1" ht="15" customHeight="1">
      <c r="A737" s="63"/>
      <c r="B737" s="63"/>
      <c r="C737" s="84"/>
      <c r="D737" s="85"/>
      <c r="E737" s="62"/>
      <c r="F737" s="62"/>
      <c r="G737" s="62"/>
      <c r="H737" s="62"/>
      <c r="I737" s="62"/>
      <c r="J737" s="62"/>
      <c r="K737" s="62"/>
      <c r="L737" s="62"/>
      <c r="M737" s="62"/>
      <c r="N737" s="62"/>
      <c r="O737" s="62"/>
      <c r="P737" s="62"/>
      <c r="Q737" s="62"/>
      <c r="R737" s="62"/>
      <c r="S737" s="258"/>
      <c r="T737" s="248" t="str">
        <f t="shared" si="103"/>
        <v/>
      </c>
      <c r="U737" s="249" t="str">
        <f t="shared" si="104"/>
        <v/>
      </c>
      <c r="V737" s="294" t="str">
        <f t="shared" si="100"/>
        <v/>
      </c>
      <c r="W737" s="294" t="str">
        <f>IF(((E737="")+(F737="")),"",IF(VLOOKUP(F737,Mannschaften!$A$1:$B$54,2,FALSE)&lt;&gt;E737,"Reiter Mannschaften füllen",""))</f>
        <v/>
      </c>
      <c r="X737" s="248" t="str">
        <f>IF(ISBLANK(C737),"",IF((U737&gt;(LOOKUP(E737,WKNrListe,Übersicht!$O$7:$O$46)))+(U737&lt;(LOOKUP(E737,WKNrListe,Übersicht!$P$7:$P$46))),"JG falsch",""))</f>
        <v/>
      </c>
      <c r="Y737" s="255" t="str">
        <f>IF((A737="")*(B737=""),"",IF(ISERROR(MATCH(E737,WKNrListe,0)),"WK falsch",LOOKUP(E737,WKNrListe,Übersicht!$B$7:$B$46)))</f>
        <v/>
      </c>
      <c r="Z737" s="269" t="str">
        <f>IF(((AJ737=0)*(AH737&lt;&gt;"")*(AK737="-"))+((AJ737&lt;&gt;0)*(AH737&lt;&gt;"")*(AK737="-")),IF(AG737="X",Übersicht!$C$70,Übersicht!$C$69),"-")</f>
        <v>-</v>
      </c>
      <c r="AA737" s="252" t="str">
        <f>IF((($A737="")*($B737=""))+((MID($Y737,1,4)&lt;&gt;"Wahl")*(Deckblatt!$C$14='WK-Vorlagen'!$C$82))+(Deckblatt!$C$14&lt;&gt;'WK-Vorlagen'!$C$82),"",IF(ISERROR(MATCH(VALUE(MID(G737,1,2)),Schwierigkeitsstufen!$G$7:$G$19,0)),"Gerät falsch",LOOKUP(VALUE(MID(G737,1,2)),Schwierigkeitsstufen!$G$7:$G$19,Schwierigkeitsstufen!$H$7:$H$19)))</f>
        <v/>
      </c>
      <c r="AB737" s="250" t="str">
        <f>IF((($A737="")*($B737=""))+((MID($Y737,1,4)&lt;&gt;"Wahl")*(Deckblatt!$C$14='WK-Vorlagen'!$C$82))+(Deckblatt!$C$14&lt;&gt;'WK-Vorlagen'!$C$82),"",IF(ISERROR(MATCH(VALUE(MID(H737,1,2)),Schwierigkeitsstufen!$G$7:$G$19,0)),"Gerät falsch",LOOKUP(VALUE(MID(H737,1,2)),Schwierigkeitsstufen!$G$7:$G$19,Schwierigkeitsstufen!$H$7:$H$19)))</f>
        <v/>
      </c>
      <c r="AC737" s="250" t="str">
        <f>IF((($A737="")*($B737=""))+((MID($Y737,1,4)&lt;&gt;"Wahl")*(Deckblatt!$C$14='WK-Vorlagen'!$C$82))+(Deckblatt!$C$14&lt;&gt;'WK-Vorlagen'!$C$82),"",IF(ISERROR(MATCH(VALUE(MID(I737,1,2)),Schwierigkeitsstufen!$G$7:$G$19,0)),"Gerät falsch",LOOKUP(VALUE(MID(I737,1,2)),Schwierigkeitsstufen!$G$7:$G$19,Schwierigkeitsstufen!$H$7:$H$19)))</f>
        <v/>
      </c>
      <c r="AD737" s="251" t="str">
        <f>IF((($A737="")*($B737=""))+((MID($Y737,1,4)&lt;&gt;"Wahl")*(Deckblatt!$C$14='WK-Vorlagen'!$C$82))+(Deckblatt!$C$14&lt;&gt;'WK-Vorlagen'!$C$82),"",IF(ISERROR(MATCH(VALUE(MID(J737,1,2)),Schwierigkeitsstufen!$G$7:$G$19,0)),"Gerät falsch",LOOKUP(VALUE(MID(J737,1,2)),Schwierigkeitsstufen!$G$7:$G$19,Schwierigkeitsstufen!$H$7:$H$19)))</f>
        <v/>
      </c>
      <c r="AE737" s="211"/>
      <c r="AG737" s="221" t="str">
        <f t="shared" si="99"/>
        <v/>
      </c>
      <c r="AH737" s="222" t="str">
        <f t="shared" si="101"/>
        <v/>
      </c>
      <c r="AI737" s="220">
        <f t="shared" si="106"/>
        <v>4</v>
      </c>
      <c r="AJ737" s="222">
        <f t="shared" si="102"/>
        <v>0</v>
      </c>
      <c r="AK737" s="299" t="str">
        <f>IF(ISERROR(LOOKUP(E737,WKNrListe,Übersicht!$R$7:$R$46)),"-",LOOKUP(E737,WKNrListe,Übersicht!$R$7:$R$46))</f>
        <v>-</v>
      </c>
      <c r="AL737" s="299" t="str">
        <f t="shared" si="105"/>
        <v>-</v>
      </c>
      <c r="AM737" s="303"/>
      <c r="AN737" s="174" t="str">
        <f t="shared" si="98"/>
        <v>Leer</v>
      </c>
    </row>
    <row r="738" spans="1:40" s="174" customFormat="1" ht="15" customHeight="1">
      <c r="A738" s="63"/>
      <c r="B738" s="63"/>
      <c r="C738" s="84"/>
      <c r="D738" s="85"/>
      <c r="E738" s="62"/>
      <c r="F738" s="62"/>
      <c r="G738" s="62"/>
      <c r="H738" s="62"/>
      <c r="I738" s="62"/>
      <c r="J738" s="62"/>
      <c r="K738" s="62"/>
      <c r="L738" s="62"/>
      <c r="M738" s="62"/>
      <c r="N738" s="62"/>
      <c r="O738" s="62"/>
      <c r="P738" s="62"/>
      <c r="Q738" s="62"/>
      <c r="R738" s="62"/>
      <c r="S738" s="258"/>
      <c r="T738" s="248" t="str">
        <f t="shared" si="103"/>
        <v/>
      </c>
      <c r="U738" s="249" t="str">
        <f t="shared" si="104"/>
        <v/>
      </c>
      <c r="V738" s="294" t="str">
        <f t="shared" si="100"/>
        <v/>
      </c>
      <c r="W738" s="294" t="str">
        <f>IF(((E738="")+(F738="")),"",IF(VLOOKUP(F738,Mannschaften!$A$1:$B$54,2,FALSE)&lt;&gt;E738,"Reiter Mannschaften füllen",""))</f>
        <v/>
      </c>
      <c r="X738" s="248" t="str">
        <f>IF(ISBLANK(C738),"",IF((U738&gt;(LOOKUP(E738,WKNrListe,Übersicht!$O$7:$O$46)))+(U738&lt;(LOOKUP(E738,WKNrListe,Übersicht!$P$7:$P$46))),"JG falsch",""))</f>
        <v/>
      </c>
      <c r="Y738" s="255" t="str">
        <f>IF((A738="")*(B738=""),"",IF(ISERROR(MATCH(E738,WKNrListe,0)),"WK falsch",LOOKUP(E738,WKNrListe,Übersicht!$B$7:$B$46)))</f>
        <v/>
      </c>
      <c r="Z738" s="269" t="str">
        <f>IF(((AJ738=0)*(AH738&lt;&gt;"")*(AK738="-"))+((AJ738&lt;&gt;0)*(AH738&lt;&gt;"")*(AK738="-")),IF(AG738="X",Übersicht!$C$70,Übersicht!$C$69),"-")</f>
        <v>-</v>
      </c>
      <c r="AA738" s="252" t="str">
        <f>IF((($A738="")*($B738=""))+((MID($Y738,1,4)&lt;&gt;"Wahl")*(Deckblatt!$C$14='WK-Vorlagen'!$C$82))+(Deckblatt!$C$14&lt;&gt;'WK-Vorlagen'!$C$82),"",IF(ISERROR(MATCH(VALUE(MID(G738,1,2)),Schwierigkeitsstufen!$G$7:$G$19,0)),"Gerät falsch",LOOKUP(VALUE(MID(G738,1,2)),Schwierigkeitsstufen!$G$7:$G$19,Schwierigkeitsstufen!$H$7:$H$19)))</f>
        <v/>
      </c>
      <c r="AB738" s="250" t="str">
        <f>IF((($A738="")*($B738=""))+((MID($Y738,1,4)&lt;&gt;"Wahl")*(Deckblatt!$C$14='WK-Vorlagen'!$C$82))+(Deckblatt!$C$14&lt;&gt;'WK-Vorlagen'!$C$82),"",IF(ISERROR(MATCH(VALUE(MID(H738,1,2)),Schwierigkeitsstufen!$G$7:$G$19,0)),"Gerät falsch",LOOKUP(VALUE(MID(H738,1,2)),Schwierigkeitsstufen!$G$7:$G$19,Schwierigkeitsstufen!$H$7:$H$19)))</f>
        <v/>
      </c>
      <c r="AC738" s="250" t="str">
        <f>IF((($A738="")*($B738=""))+((MID($Y738,1,4)&lt;&gt;"Wahl")*(Deckblatt!$C$14='WK-Vorlagen'!$C$82))+(Deckblatt!$C$14&lt;&gt;'WK-Vorlagen'!$C$82),"",IF(ISERROR(MATCH(VALUE(MID(I738,1,2)),Schwierigkeitsstufen!$G$7:$G$19,0)),"Gerät falsch",LOOKUP(VALUE(MID(I738,1,2)),Schwierigkeitsstufen!$G$7:$G$19,Schwierigkeitsstufen!$H$7:$H$19)))</f>
        <v/>
      </c>
      <c r="AD738" s="251" t="str">
        <f>IF((($A738="")*($B738=""))+((MID($Y738,1,4)&lt;&gt;"Wahl")*(Deckblatt!$C$14='WK-Vorlagen'!$C$82))+(Deckblatt!$C$14&lt;&gt;'WK-Vorlagen'!$C$82),"",IF(ISERROR(MATCH(VALUE(MID(J738,1,2)),Schwierigkeitsstufen!$G$7:$G$19,0)),"Gerät falsch",LOOKUP(VALUE(MID(J738,1,2)),Schwierigkeitsstufen!$G$7:$G$19,Schwierigkeitsstufen!$H$7:$H$19)))</f>
        <v/>
      </c>
      <c r="AE738" s="211"/>
      <c r="AG738" s="221" t="str">
        <f t="shared" si="99"/>
        <v/>
      </c>
      <c r="AH738" s="222" t="str">
        <f t="shared" si="101"/>
        <v/>
      </c>
      <c r="AI738" s="220">
        <f t="shared" si="106"/>
        <v>4</v>
      </c>
      <c r="AJ738" s="222">
        <f t="shared" si="102"/>
        <v>0</v>
      </c>
      <c r="AK738" s="299" t="str">
        <f>IF(ISERROR(LOOKUP(E738,WKNrListe,Übersicht!$R$7:$R$46)),"-",LOOKUP(E738,WKNrListe,Übersicht!$R$7:$R$46))</f>
        <v>-</v>
      </c>
      <c r="AL738" s="299" t="str">
        <f t="shared" si="105"/>
        <v>-</v>
      </c>
      <c r="AM738" s="303"/>
      <c r="AN738" s="174" t="str">
        <f t="shared" si="98"/>
        <v>Leer</v>
      </c>
    </row>
    <row r="739" spans="1:40" s="174" customFormat="1" ht="15" customHeight="1">
      <c r="A739" s="63"/>
      <c r="B739" s="63"/>
      <c r="C739" s="84"/>
      <c r="D739" s="85"/>
      <c r="E739" s="62"/>
      <c r="F739" s="62"/>
      <c r="G739" s="62"/>
      <c r="H739" s="62"/>
      <c r="I739" s="62"/>
      <c r="J739" s="62"/>
      <c r="K739" s="62"/>
      <c r="L739" s="62"/>
      <c r="M739" s="62"/>
      <c r="N739" s="62"/>
      <c r="O739" s="62"/>
      <c r="P739" s="62"/>
      <c r="Q739" s="62"/>
      <c r="R739" s="62"/>
      <c r="S739" s="258"/>
      <c r="T739" s="248" t="str">
        <f t="shared" si="103"/>
        <v/>
      </c>
      <c r="U739" s="249" t="str">
        <f t="shared" si="104"/>
        <v/>
      </c>
      <c r="V739" s="294" t="str">
        <f t="shared" si="100"/>
        <v/>
      </c>
      <c r="W739" s="294" t="str">
        <f>IF(((E739="")+(F739="")),"",IF(VLOOKUP(F739,Mannschaften!$A$1:$B$54,2,FALSE)&lt;&gt;E739,"Reiter Mannschaften füllen",""))</f>
        <v/>
      </c>
      <c r="X739" s="248" t="str">
        <f>IF(ISBLANK(C739),"",IF((U739&gt;(LOOKUP(E739,WKNrListe,Übersicht!$O$7:$O$46)))+(U739&lt;(LOOKUP(E739,WKNrListe,Übersicht!$P$7:$P$46))),"JG falsch",""))</f>
        <v/>
      </c>
      <c r="Y739" s="255" t="str">
        <f>IF((A739="")*(B739=""),"",IF(ISERROR(MATCH(E739,WKNrListe,0)),"WK falsch",LOOKUP(E739,WKNrListe,Übersicht!$B$7:$B$46)))</f>
        <v/>
      </c>
      <c r="Z739" s="269" t="str">
        <f>IF(((AJ739=0)*(AH739&lt;&gt;"")*(AK739="-"))+((AJ739&lt;&gt;0)*(AH739&lt;&gt;"")*(AK739="-")),IF(AG739="X",Übersicht!$C$70,Übersicht!$C$69),"-")</f>
        <v>-</v>
      </c>
      <c r="AA739" s="252" t="str">
        <f>IF((($A739="")*($B739=""))+((MID($Y739,1,4)&lt;&gt;"Wahl")*(Deckblatt!$C$14='WK-Vorlagen'!$C$82))+(Deckblatt!$C$14&lt;&gt;'WK-Vorlagen'!$C$82),"",IF(ISERROR(MATCH(VALUE(MID(G739,1,2)),Schwierigkeitsstufen!$G$7:$G$19,0)),"Gerät falsch",LOOKUP(VALUE(MID(G739,1,2)),Schwierigkeitsstufen!$G$7:$G$19,Schwierigkeitsstufen!$H$7:$H$19)))</f>
        <v/>
      </c>
      <c r="AB739" s="250" t="str">
        <f>IF((($A739="")*($B739=""))+((MID($Y739,1,4)&lt;&gt;"Wahl")*(Deckblatt!$C$14='WK-Vorlagen'!$C$82))+(Deckblatt!$C$14&lt;&gt;'WK-Vorlagen'!$C$82),"",IF(ISERROR(MATCH(VALUE(MID(H739,1,2)),Schwierigkeitsstufen!$G$7:$G$19,0)),"Gerät falsch",LOOKUP(VALUE(MID(H739,1,2)),Schwierigkeitsstufen!$G$7:$G$19,Schwierigkeitsstufen!$H$7:$H$19)))</f>
        <v/>
      </c>
      <c r="AC739" s="250" t="str">
        <f>IF((($A739="")*($B739=""))+((MID($Y739,1,4)&lt;&gt;"Wahl")*(Deckblatt!$C$14='WK-Vorlagen'!$C$82))+(Deckblatt!$C$14&lt;&gt;'WK-Vorlagen'!$C$82),"",IF(ISERROR(MATCH(VALUE(MID(I739,1,2)),Schwierigkeitsstufen!$G$7:$G$19,0)),"Gerät falsch",LOOKUP(VALUE(MID(I739,1,2)),Schwierigkeitsstufen!$G$7:$G$19,Schwierigkeitsstufen!$H$7:$H$19)))</f>
        <v/>
      </c>
      <c r="AD739" s="251" t="str">
        <f>IF((($A739="")*($B739=""))+((MID($Y739,1,4)&lt;&gt;"Wahl")*(Deckblatt!$C$14='WK-Vorlagen'!$C$82))+(Deckblatt!$C$14&lt;&gt;'WK-Vorlagen'!$C$82),"",IF(ISERROR(MATCH(VALUE(MID(J739,1,2)),Schwierigkeitsstufen!$G$7:$G$19,0)),"Gerät falsch",LOOKUP(VALUE(MID(J739,1,2)),Schwierigkeitsstufen!$G$7:$G$19,Schwierigkeitsstufen!$H$7:$H$19)))</f>
        <v/>
      </c>
      <c r="AE739" s="211"/>
      <c r="AG739" s="221" t="str">
        <f t="shared" si="99"/>
        <v/>
      </c>
      <c r="AH739" s="222" t="str">
        <f t="shared" si="101"/>
        <v/>
      </c>
      <c r="AI739" s="220">
        <f t="shared" si="106"/>
        <v>4</v>
      </c>
      <c r="AJ739" s="222">
        <f t="shared" si="102"/>
        <v>0</v>
      </c>
      <c r="AK739" s="299" t="str">
        <f>IF(ISERROR(LOOKUP(E739,WKNrListe,Übersicht!$R$7:$R$46)),"-",LOOKUP(E739,WKNrListe,Übersicht!$R$7:$R$46))</f>
        <v>-</v>
      </c>
      <c r="AL739" s="299" t="str">
        <f t="shared" si="105"/>
        <v>-</v>
      </c>
      <c r="AM739" s="303"/>
      <c r="AN739" s="174" t="str">
        <f t="shared" si="98"/>
        <v>Leer</v>
      </c>
    </row>
    <row r="740" spans="1:40" s="174" customFormat="1" ht="15" customHeight="1">
      <c r="A740" s="63"/>
      <c r="B740" s="63"/>
      <c r="C740" s="84"/>
      <c r="D740" s="85"/>
      <c r="E740" s="62"/>
      <c r="F740" s="62"/>
      <c r="G740" s="62"/>
      <c r="H740" s="62"/>
      <c r="I740" s="62"/>
      <c r="J740" s="62"/>
      <c r="K740" s="62"/>
      <c r="L740" s="62"/>
      <c r="M740" s="62"/>
      <c r="N740" s="62"/>
      <c r="O740" s="62"/>
      <c r="P740" s="62"/>
      <c r="Q740" s="62"/>
      <c r="R740" s="62"/>
      <c r="S740" s="258"/>
      <c r="T740" s="248" t="str">
        <f t="shared" si="103"/>
        <v/>
      </c>
      <c r="U740" s="249" t="str">
        <f t="shared" si="104"/>
        <v/>
      </c>
      <c r="V740" s="294" t="str">
        <f t="shared" si="100"/>
        <v/>
      </c>
      <c r="W740" s="294" t="str">
        <f>IF(((E740="")+(F740="")),"",IF(VLOOKUP(F740,Mannschaften!$A$1:$B$54,2,FALSE)&lt;&gt;E740,"Reiter Mannschaften füllen",""))</f>
        <v/>
      </c>
      <c r="X740" s="248" t="str">
        <f>IF(ISBLANK(C740),"",IF((U740&gt;(LOOKUP(E740,WKNrListe,Übersicht!$O$7:$O$46)))+(U740&lt;(LOOKUP(E740,WKNrListe,Übersicht!$P$7:$P$46))),"JG falsch",""))</f>
        <v/>
      </c>
      <c r="Y740" s="255" t="str">
        <f>IF((A740="")*(B740=""),"",IF(ISERROR(MATCH(E740,WKNrListe,0)),"WK falsch",LOOKUP(E740,WKNrListe,Übersicht!$B$7:$B$46)))</f>
        <v/>
      </c>
      <c r="Z740" s="269" t="str">
        <f>IF(((AJ740=0)*(AH740&lt;&gt;"")*(AK740="-"))+((AJ740&lt;&gt;0)*(AH740&lt;&gt;"")*(AK740="-")),IF(AG740="X",Übersicht!$C$70,Übersicht!$C$69),"-")</f>
        <v>-</v>
      </c>
      <c r="AA740" s="252" t="str">
        <f>IF((($A740="")*($B740=""))+((MID($Y740,1,4)&lt;&gt;"Wahl")*(Deckblatt!$C$14='WK-Vorlagen'!$C$82))+(Deckblatt!$C$14&lt;&gt;'WK-Vorlagen'!$C$82),"",IF(ISERROR(MATCH(VALUE(MID(G740,1,2)),Schwierigkeitsstufen!$G$7:$G$19,0)),"Gerät falsch",LOOKUP(VALUE(MID(G740,1,2)),Schwierigkeitsstufen!$G$7:$G$19,Schwierigkeitsstufen!$H$7:$H$19)))</f>
        <v/>
      </c>
      <c r="AB740" s="250" t="str">
        <f>IF((($A740="")*($B740=""))+((MID($Y740,1,4)&lt;&gt;"Wahl")*(Deckblatt!$C$14='WK-Vorlagen'!$C$82))+(Deckblatt!$C$14&lt;&gt;'WK-Vorlagen'!$C$82),"",IF(ISERROR(MATCH(VALUE(MID(H740,1,2)),Schwierigkeitsstufen!$G$7:$G$19,0)),"Gerät falsch",LOOKUP(VALUE(MID(H740,1,2)),Schwierigkeitsstufen!$G$7:$G$19,Schwierigkeitsstufen!$H$7:$H$19)))</f>
        <v/>
      </c>
      <c r="AC740" s="250" t="str">
        <f>IF((($A740="")*($B740=""))+((MID($Y740,1,4)&lt;&gt;"Wahl")*(Deckblatt!$C$14='WK-Vorlagen'!$C$82))+(Deckblatt!$C$14&lt;&gt;'WK-Vorlagen'!$C$82),"",IF(ISERROR(MATCH(VALUE(MID(I740,1,2)),Schwierigkeitsstufen!$G$7:$G$19,0)),"Gerät falsch",LOOKUP(VALUE(MID(I740,1,2)),Schwierigkeitsstufen!$G$7:$G$19,Schwierigkeitsstufen!$H$7:$H$19)))</f>
        <v/>
      </c>
      <c r="AD740" s="251" t="str">
        <f>IF((($A740="")*($B740=""))+((MID($Y740,1,4)&lt;&gt;"Wahl")*(Deckblatt!$C$14='WK-Vorlagen'!$C$82))+(Deckblatt!$C$14&lt;&gt;'WK-Vorlagen'!$C$82),"",IF(ISERROR(MATCH(VALUE(MID(J740,1,2)),Schwierigkeitsstufen!$G$7:$G$19,0)),"Gerät falsch",LOOKUP(VALUE(MID(J740,1,2)),Schwierigkeitsstufen!$G$7:$G$19,Schwierigkeitsstufen!$H$7:$H$19)))</f>
        <v/>
      </c>
      <c r="AE740" s="211"/>
      <c r="AG740" s="221" t="str">
        <f t="shared" si="99"/>
        <v/>
      </c>
      <c r="AH740" s="222" t="str">
        <f t="shared" si="101"/>
        <v/>
      </c>
      <c r="AI740" s="220">
        <f t="shared" si="106"/>
        <v>4</v>
      </c>
      <c r="AJ740" s="222">
        <f t="shared" si="102"/>
        <v>0</v>
      </c>
      <c r="AK740" s="299" t="str">
        <f>IF(ISERROR(LOOKUP(E740,WKNrListe,Übersicht!$R$7:$R$46)),"-",LOOKUP(E740,WKNrListe,Übersicht!$R$7:$R$46))</f>
        <v>-</v>
      </c>
      <c r="AL740" s="299" t="str">
        <f t="shared" si="105"/>
        <v>-</v>
      </c>
      <c r="AM740" s="303"/>
      <c r="AN740" s="174" t="str">
        <f t="shared" si="98"/>
        <v>Leer</v>
      </c>
    </row>
    <row r="741" spans="1:40" s="174" customFormat="1" ht="15" customHeight="1">
      <c r="A741" s="63"/>
      <c r="B741" s="63"/>
      <c r="C741" s="84"/>
      <c r="D741" s="85"/>
      <c r="E741" s="62"/>
      <c r="F741" s="62"/>
      <c r="G741" s="62"/>
      <c r="H741" s="62"/>
      <c r="I741" s="62"/>
      <c r="J741" s="62"/>
      <c r="K741" s="62"/>
      <c r="L741" s="62"/>
      <c r="M741" s="62"/>
      <c r="N741" s="62"/>
      <c r="O741" s="62"/>
      <c r="P741" s="62"/>
      <c r="Q741" s="62"/>
      <c r="R741" s="62"/>
      <c r="S741" s="258"/>
      <c r="T741" s="248" t="str">
        <f t="shared" si="103"/>
        <v/>
      </c>
      <c r="U741" s="249" t="str">
        <f t="shared" si="104"/>
        <v/>
      </c>
      <c r="V741" s="294" t="str">
        <f t="shared" si="100"/>
        <v/>
      </c>
      <c r="W741" s="294" t="str">
        <f>IF(((E741="")+(F741="")),"",IF(VLOOKUP(F741,Mannschaften!$A$1:$B$54,2,FALSE)&lt;&gt;E741,"Reiter Mannschaften füllen",""))</f>
        <v/>
      </c>
      <c r="X741" s="248" t="str">
        <f>IF(ISBLANK(C741),"",IF((U741&gt;(LOOKUP(E741,WKNrListe,Übersicht!$O$7:$O$46)))+(U741&lt;(LOOKUP(E741,WKNrListe,Übersicht!$P$7:$P$46))),"JG falsch",""))</f>
        <v/>
      </c>
      <c r="Y741" s="255" t="str">
        <f>IF((A741="")*(B741=""),"",IF(ISERROR(MATCH(E741,WKNrListe,0)),"WK falsch",LOOKUP(E741,WKNrListe,Übersicht!$B$7:$B$46)))</f>
        <v/>
      </c>
      <c r="Z741" s="269" t="str">
        <f>IF(((AJ741=0)*(AH741&lt;&gt;"")*(AK741="-"))+((AJ741&lt;&gt;0)*(AH741&lt;&gt;"")*(AK741="-")),IF(AG741="X",Übersicht!$C$70,Übersicht!$C$69),"-")</f>
        <v>-</v>
      </c>
      <c r="AA741" s="252" t="str">
        <f>IF((($A741="")*($B741=""))+((MID($Y741,1,4)&lt;&gt;"Wahl")*(Deckblatt!$C$14='WK-Vorlagen'!$C$82))+(Deckblatt!$C$14&lt;&gt;'WK-Vorlagen'!$C$82),"",IF(ISERROR(MATCH(VALUE(MID(G741,1,2)),Schwierigkeitsstufen!$G$7:$G$19,0)),"Gerät falsch",LOOKUP(VALUE(MID(G741,1,2)),Schwierigkeitsstufen!$G$7:$G$19,Schwierigkeitsstufen!$H$7:$H$19)))</f>
        <v/>
      </c>
      <c r="AB741" s="250" t="str">
        <f>IF((($A741="")*($B741=""))+((MID($Y741,1,4)&lt;&gt;"Wahl")*(Deckblatt!$C$14='WK-Vorlagen'!$C$82))+(Deckblatt!$C$14&lt;&gt;'WK-Vorlagen'!$C$82),"",IF(ISERROR(MATCH(VALUE(MID(H741,1,2)),Schwierigkeitsstufen!$G$7:$G$19,0)),"Gerät falsch",LOOKUP(VALUE(MID(H741,1,2)),Schwierigkeitsstufen!$G$7:$G$19,Schwierigkeitsstufen!$H$7:$H$19)))</f>
        <v/>
      </c>
      <c r="AC741" s="250" t="str">
        <f>IF((($A741="")*($B741=""))+((MID($Y741,1,4)&lt;&gt;"Wahl")*(Deckblatt!$C$14='WK-Vorlagen'!$C$82))+(Deckblatt!$C$14&lt;&gt;'WK-Vorlagen'!$C$82),"",IF(ISERROR(MATCH(VALUE(MID(I741,1,2)),Schwierigkeitsstufen!$G$7:$G$19,0)),"Gerät falsch",LOOKUP(VALUE(MID(I741,1,2)),Schwierigkeitsstufen!$G$7:$G$19,Schwierigkeitsstufen!$H$7:$H$19)))</f>
        <v/>
      </c>
      <c r="AD741" s="251" t="str">
        <f>IF((($A741="")*($B741=""))+((MID($Y741,1,4)&lt;&gt;"Wahl")*(Deckblatt!$C$14='WK-Vorlagen'!$C$82))+(Deckblatt!$C$14&lt;&gt;'WK-Vorlagen'!$C$82),"",IF(ISERROR(MATCH(VALUE(MID(J741,1,2)),Schwierigkeitsstufen!$G$7:$G$19,0)),"Gerät falsch",LOOKUP(VALUE(MID(J741,1,2)),Schwierigkeitsstufen!$G$7:$G$19,Schwierigkeitsstufen!$H$7:$H$19)))</f>
        <v/>
      </c>
      <c r="AE741" s="211"/>
      <c r="AG741" s="221" t="str">
        <f t="shared" si="99"/>
        <v/>
      </c>
      <c r="AH741" s="222" t="str">
        <f t="shared" si="101"/>
        <v/>
      </c>
      <c r="AI741" s="220">
        <f t="shared" si="106"/>
        <v>4</v>
      </c>
      <c r="AJ741" s="222">
        <f t="shared" si="102"/>
        <v>0</v>
      </c>
      <c r="AK741" s="299" t="str">
        <f>IF(ISERROR(LOOKUP(E741,WKNrListe,Übersicht!$R$7:$R$46)),"-",LOOKUP(E741,WKNrListe,Übersicht!$R$7:$R$46))</f>
        <v>-</v>
      </c>
      <c r="AL741" s="299" t="str">
        <f t="shared" si="105"/>
        <v>-</v>
      </c>
      <c r="AM741" s="303"/>
      <c r="AN741" s="174" t="str">
        <f t="shared" si="98"/>
        <v>Leer</v>
      </c>
    </row>
    <row r="742" spans="1:40" s="174" customFormat="1" ht="15" customHeight="1">
      <c r="A742" s="63"/>
      <c r="B742" s="63"/>
      <c r="C742" s="84"/>
      <c r="D742" s="85"/>
      <c r="E742" s="62"/>
      <c r="F742" s="62"/>
      <c r="G742" s="62"/>
      <c r="H742" s="62"/>
      <c r="I742" s="62"/>
      <c r="J742" s="62"/>
      <c r="K742" s="62"/>
      <c r="L742" s="62"/>
      <c r="M742" s="62"/>
      <c r="N742" s="62"/>
      <c r="O742" s="62"/>
      <c r="P742" s="62"/>
      <c r="Q742" s="62"/>
      <c r="R742" s="62"/>
      <c r="S742" s="258"/>
      <c r="T742" s="248" t="str">
        <f t="shared" si="103"/>
        <v/>
      </c>
      <c r="U742" s="249" t="str">
        <f t="shared" si="104"/>
        <v/>
      </c>
      <c r="V742" s="294" t="str">
        <f t="shared" si="100"/>
        <v/>
      </c>
      <c r="W742" s="294" t="str">
        <f>IF(((E742="")+(F742="")),"",IF(VLOOKUP(F742,Mannschaften!$A$1:$B$54,2,FALSE)&lt;&gt;E742,"Reiter Mannschaften füllen",""))</f>
        <v/>
      </c>
      <c r="X742" s="248" t="str">
        <f>IF(ISBLANK(C742),"",IF((U742&gt;(LOOKUP(E742,WKNrListe,Übersicht!$O$7:$O$46)))+(U742&lt;(LOOKUP(E742,WKNrListe,Übersicht!$P$7:$P$46))),"JG falsch",""))</f>
        <v/>
      </c>
      <c r="Y742" s="255" t="str">
        <f>IF((A742="")*(B742=""),"",IF(ISERROR(MATCH(E742,WKNrListe,0)),"WK falsch",LOOKUP(E742,WKNrListe,Übersicht!$B$7:$B$46)))</f>
        <v/>
      </c>
      <c r="Z742" s="269" t="str">
        <f>IF(((AJ742=0)*(AH742&lt;&gt;"")*(AK742="-"))+((AJ742&lt;&gt;0)*(AH742&lt;&gt;"")*(AK742="-")),IF(AG742="X",Übersicht!$C$70,Übersicht!$C$69),"-")</f>
        <v>-</v>
      </c>
      <c r="AA742" s="252" t="str">
        <f>IF((($A742="")*($B742=""))+((MID($Y742,1,4)&lt;&gt;"Wahl")*(Deckblatt!$C$14='WK-Vorlagen'!$C$82))+(Deckblatt!$C$14&lt;&gt;'WK-Vorlagen'!$C$82),"",IF(ISERROR(MATCH(VALUE(MID(G742,1,2)),Schwierigkeitsstufen!$G$7:$G$19,0)),"Gerät falsch",LOOKUP(VALUE(MID(G742,1,2)),Schwierigkeitsstufen!$G$7:$G$19,Schwierigkeitsstufen!$H$7:$H$19)))</f>
        <v/>
      </c>
      <c r="AB742" s="250" t="str">
        <f>IF((($A742="")*($B742=""))+((MID($Y742,1,4)&lt;&gt;"Wahl")*(Deckblatt!$C$14='WK-Vorlagen'!$C$82))+(Deckblatt!$C$14&lt;&gt;'WK-Vorlagen'!$C$82),"",IF(ISERROR(MATCH(VALUE(MID(H742,1,2)),Schwierigkeitsstufen!$G$7:$G$19,0)),"Gerät falsch",LOOKUP(VALUE(MID(H742,1,2)),Schwierigkeitsstufen!$G$7:$G$19,Schwierigkeitsstufen!$H$7:$H$19)))</f>
        <v/>
      </c>
      <c r="AC742" s="250" t="str">
        <f>IF((($A742="")*($B742=""))+((MID($Y742,1,4)&lt;&gt;"Wahl")*(Deckblatt!$C$14='WK-Vorlagen'!$C$82))+(Deckblatt!$C$14&lt;&gt;'WK-Vorlagen'!$C$82),"",IF(ISERROR(MATCH(VALUE(MID(I742,1,2)),Schwierigkeitsstufen!$G$7:$G$19,0)),"Gerät falsch",LOOKUP(VALUE(MID(I742,1,2)),Schwierigkeitsstufen!$G$7:$G$19,Schwierigkeitsstufen!$H$7:$H$19)))</f>
        <v/>
      </c>
      <c r="AD742" s="251" t="str">
        <f>IF((($A742="")*($B742=""))+((MID($Y742,1,4)&lt;&gt;"Wahl")*(Deckblatt!$C$14='WK-Vorlagen'!$C$82))+(Deckblatt!$C$14&lt;&gt;'WK-Vorlagen'!$C$82),"",IF(ISERROR(MATCH(VALUE(MID(J742,1,2)),Schwierigkeitsstufen!$G$7:$G$19,0)),"Gerät falsch",LOOKUP(VALUE(MID(J742,1,2)),Schwierigkeitsstufen!$G$7:$G$19,Schwierigkeitsstufen!$H$7:$H$19)))</f>
        <v/>
      </c>
      <c r="AE742" s="211"/>
      <c r="AG742" s="221" t="str">
        <f t="shared" si="99"/>
        <v/>
      </c>
      <c r="AH742" s="222" t="str">
        <f t="shared" si="101"/>
        <v/>
      </c>
      <c r="AI742" s="220">
        <f t="shared" si="106"/>
        <v>4</v>
      </c>
      <c r="AJ742" s="222">
        <f t="shared" si="102"/>
        <v>0</v>
      </c>
      <c r="AK742" s="299" t="str">
        <f>IF(ISERROR(LOOKUP(E742,WKNrListe,Übersicht!$R$7:$R$46)),"-",LOOKUP(E742,WKNrListe,Übersicht!$R$7:$R$46))</f>
        <v>-</v>
      </c>
      <c r="AL742" s="299" t="str">
        <f t="shared" si="105"/>
        <v>-</v>
      </c>
      <c r="AM742" s="303"/>
      <c r="AN742" s="174" t="str">
        <f t="shared" si="98"/>
        <v>Leer</v>
      </c>
    </row>
    <row r="743" spans="1:40" s="174" customFormat="1" ht="15" customHeight="1">
      <c r="A743" s="63"/>
      <c r="B743" s="63"/>
      <c r="C743" s="84"/>
      <c r="D743" s="85"/>
      <c r="E743" s="62"/>
      <c r="F743" s="62"/>
      <c r="G743" s="62"/>
      <c r="H743" s="62"/>
      <c r="I743" s="62"/>
      <c r="J743" s="62"/>
      <c r="K743" s="62"/>
      <c r="L743" s="62"/>
      <c r="M743" s="62"/>
      <c r="N743" s="62"/>
      <c r="O743" s="62"/>
      <c r="P743" s="62"/>
      <c r="Q743" s="62"/>
      <c r="R743" s="62"/>
      <c r="S743" s="258"/>
      <c r="T743" s="248" t="str">
        <f t="shared" si="103"/>
        <v/>
      </c>
      <c r="U743" s="249" t="str">
        <f t="shared" si="104"/>
        <v/>
      </c>
      <c r="V743" s="294" t="str">
        <f t="shared" si="100"/>
        <v/>
      </c>
      <c r="W743" s="294" t="str">
        <f>IF(((E743="")+(F743="")),"",IF(VLOOKUP(F743,Mannschaften!$A$1:$B$54,2,FALSE)&lt;&gt;E743,"Reiter Mannschaften füllen",""))</f>
        <v/>
      </c>
      <c r="X743" s="248" t="str">
        <f>IF(ISBLANK(C743),"",IF((U743&gt;(LOOKUP(E743,WKNrListe,Übersicht!$O$7:$O$46)))+(U743&lt;(LOOKUP(E743,WKNrListe,Übersicht!$P$7:$P$46))),"JG falsch",""))</f>
        <v/>
      </c>
      <c r="Y743" s="255" t="str">
        <f>IF((A743="")*(B743=""),"",IF(ISERROR(MATCH(E743,WKNrListe,0)),"WK falsch",LOOKUP(E743,WKNrListe,Übersicht!$B$7:$B$46)))</f>
        <v/>
      </c>
      <c r="Z743" s="269" t="str">
        <f>IF(((AJ743=0)*(AH743&lt;&gt;"")*(AK743="-"))+((AJ743&lt;&gt;0)*(AH743&lt;&gt;"")*(AK743="-")),IF(AG743="X",Übersicht!$C$70,Übersicht!$C$69),"-")</f>
        <v>-</v>
      </c>
      <c r="AA743" s="252" t="str">
        <f>IF((($A743="")*($B743=""))+((MID($Y743,1,4)&lt;&gt;"Wahl")*(Deckblatt!$C$14='WK-Vorlagen'!$C$82))+(Deckblatt!$C$14&lt;&gt;'WK-Vorlagen'!$C$82),"",IF(ISERROR(MATCH(VALUE(MID(G743,1,2)),Schwierigkeitsstufen!$G$7:$G$19,0)),"Gerät falsch",LOOKUP(VALUE(MID(G743,1,2)),Schwierigkeitsstufen!$G$7:$G$19,Schwierigkeitsstufen!$H$7:$H$19)))</f>
        <v/>
      </c>
      <c r="AB743" s="250" t="str">
        <f>IF((($A743="")*($B743=""))+((MID($Y743,1,4)&lt;&gt;"Wahl")*(Deckblatt!$C$14='WK-Vorlagen'!$C$82))+(Deckblatt!$C$14&lt;&gt;'WK-Vorlagen'!$C$82),"",IF(ISERROR(MATCH(VALUE(MID(H743,1,2)),Schwierigkeitsstufen!$G$7:$G$19,0)),"Gerät falsch",LOOKUP(VALUE(MID(H743,1,2)),Schwierigkeitsstufen!$G$7:$G$19,Schwierigkeitsstufen!$H$7:$H$19)))</f>
        <v/>
      </c>
      <c r="AC743" s="250" t="str">
        <f>IF((($A743="")*($B743=""))+((MID($Y743,1,4)&lt;&gt;"Wahl")*(Deckblatt!$C$14='WK-Vorlagen'!$C$82))+(Deckblatt!$C$14&lt;&gt;'WK-Vorlagen'!$C$82),"",IF(ISERROR(MATCH(VALUE(MID(I743,1,2)),Schwierigkeitsstufen!$G$7:$G$19,0)),"Gerät falsch",LOOKUP(VALUE(MID(I743,1,2)),Schwierigkeitsstufen!$G$7:$G$19,Schwierigkeitsstufen!$H$7:$H$19)))</f>
        <v/>
      </c>
      <c r="AD743" s="251" t="str">
        <f>IF((($A743="")*($B743=""))+((MID($Y743,1,4)&lt;&gt;"Wahl")*(Deckblatt!$C$14='WK-Vorlagen'!$C$82))+(Deckblatt!$C$14&lt;&gt;'WK-Vorlagen'!$C$82),"",IF(ISERROR(MATCH(VALUE(MID(J743,1,2)),Schwierigkeitsstufen!$G$7:$G$19,0)),"Gerät falsch",LOOKUP(VALUE(MID(J743,1,2)),Schwierigkeitsstufen!$G$7:$G$19,Schwierigkeitsstufen!$H$7:$H$19)))</f>
        <v/>
      </c>
      <c r="AE743" s="211"/>
      <c r="AG743" s="221" t="str">
        <f t="shared" si="99"/>
        <v/>
      </c>
      <c r="AH743" s="222" t="str">
        <f t="shared" si="101"/>
        <v/>
      </c>
      <c r="AI743" s="220">
        <f t="shared" si="106"/>
        <v>4</v>
      </c>
      <c r="AJ743" s="222">
        <f t="shared" si="102"/>
        <v>0</v>
      </c>
      <c r="AK743" s="299" t="str">
        <f>IF(ISERROR(LOOKUP(E743,WKNrListe,Übersicht!$R$7:$R$46)),"-",LOOKUP(E743,WKNrListe,Übersicht!$R$7:$R$46))</f>
        <v>-</v>
      </c>
      <c r="AL743" s="299" t="str">
        <f t="shared" si="105"/>
        <v>-</v>
      </c>
      <c r="AM743" s="303"/>
      <c r="AN743" s="174" t="str">
        <f t="shared" si="98"/>
        <v>Leer</v>
      </c>
    </row>
    <row r="744" spans="1:40" s="174" customFormat="1" ht="15" customHeight="1">
      <c r="A744" s="63"/>
      <c r="B744" s="63"/>
      <c r="C744" s="84"/>
      <c r="D744" s="85"/>
      <c r="E744" s="62"/>
      <c r="F744" s="62"/>
      <c r="G744" s="62"/>
      <c r="H744" s="62"/>
      <c r="I744" s="62"/>
      <c r="J744" s="62"/>
      <c r="K744" s="62"/>
      <c r="L744" s="62"/>
      <c r="M744" s="62"/>
      <c r="N744" s="62"/>
      <c r="O744" s="62"/>
      <c r="P744" s="62"/>
      <c r="Q744" s="62"/>
      <c r="R744" s="62"/>
      <c r="S744" s="258"/>
      <c r="T744" s="248" t="str">
        <f t="shared" si="103"/>
        <v/>
      </c>
      <c r="U744" s="249" t="str">
        <f t="shared" si="104"/>
        <v/>
      </c>
      <c r="V744" s="294" t="str">
        <f t="shared" si="100"/>
        <v/>
      </c>
      <c r="W744" s="294" t="str">
        <f>IF(((E744="")+(F744="")),"",IF(VLOOKUP(F744,Mannschaften!$A$1:$B$54,2,FALSE)&lt;&gt;E744,"Reiter Mannschaften füllen",""))</f>
        <v/>
      </c>
      <c r="X744" s="248" t="str">
        <f>IF(ISBLANK(C744),"",IF((U744&gt;(LOOKUP(E744,WKNrListe,Übersicht!$O$7:$O$46)))+(U744&lt;(LOOKUP(E744,WKNrListe,Übersicht!$P$7:$P$46))),"JG falsch",""))</f>
        <v/>
      </c>
      <c r="Y744" s="255" t="str">
        <f>IF((A744="")*(B744=""),"",IF(ISERROR(MATCH(E744,WKNrListe,0)),"WK falsch",LOOKUP(E744,WKNrListe,Übersicht!$B$7:$B$46)))</f>
        <v/>
      </c>
      <c r="Z744" s="269" t="str">
        <f>IF(((AJ744=0)*(AH744&lt;&gt;"")*(AK744="-"))+((AJ744&lt;&gt;0)*(AH744&lt;&gt;"")*(AK744="-")),IF(AG744="X",Übersicht!$C$70,Übersicht!$C$69),"-")</f>
        <v>-</v>
      </c>
      <c r="AA744" s="252" t="str">
        <f>IF((($A744="")*($B744=""))+((MID($Y744,1,4)&lt;&gt;"Wahl")*(Deckblatt!$C$14='WK-Vorlagen'!$C$82))+(Deckblatt!$C$14&lt;&gt;'WK-Vorlagen'!$C$82),"",IF(ISERROR(MATCH(VALUE(MID(G744,1,2)),Schwierigkeitsstufen!$G$7:$G$19,0)),"Gerät falsch",LOOKUP(VALUE(MID(G744,1,2)),Schwierigkeitsstufen!$G$7:$G$19,Schwierigkeitsstufen!$H$7:$H$19)))</f>
        <v/>
      </c>
      <c r="AB744" s="250" t="str">
        <f>IF((($A744="")*($B744=""))+((MID($Y744,1,4)&lt;&gt;"Wahl")*(Deckblatt!$C$14='WK-Vorlagen'!$C$82))+(Deckblatt!$C$14&lt;&gt;'WK-Vorlagen'!$C$82),"",IF(ISERROR(MATCH(VALUE(MID(H744,1,2)),Schwierigkeitsstufen!$G$7:$G$19,0)),"Gerät falsch",LOOKUP(VALUE(MID(H744,1,2)),Schwierigkeitsstufen!$G$7:$G$19,Schwierigkeitsstufen!$H$7:$H$19)))</f>
        <v/>
      </c>
      <c r="AC744" s="250" t="str">
        <f>IF((($A744="")*($B744=""))+((MID($Y744,1,4)&lt;&gt;"Wahl")*(Deckblatt!$C$14='WK-Vorlagen'!$C$82))+(Deckblatt!$C$14&lt;&gt;'WK-Vorlagen'!$C$82),"",IF(ISERROR(MATCH(VALUE(MID(I744,1,2)),Schwierigkeitsstufen!$G$7:$G$19,0)),"Gerät falsch",LOOKUP(VALUE(MID(I744,1,2)),Schwierigkeitsstufen!$G$7:$G$19,Schwierigkeitsstufen!$H$7:$H$19)))</f>
        <v/>
      </c>
      <c r="AD744" s="251" t="str">
        <f>IF((($A744="")*($B744=""))+((MID($Y744,1,4)&lt;&gt;"Wahl")*(Deckblatt!$C$14='WK-Vorlagen'!$C$82))+(Deckblatt!$C$14&lt;&gt;'WK-Vorlagen'!$C$82),"",IF(ISERROR(MATCH(VALUE(MID(J744,1,2)),Schwierigkeitsstufen!$G$7:$G$19,0)),"Gerät falsch",LOOKUP(VALUE(MID(J744,1,2)),Schwierigkeitsstufen!$G$7:$G$19,Schwierigkeitsstufen!$H$7:$H$19)))</f>
        <v/>
      </c>
      <c r="AE744" s="211"/>
      <c r="AG744" s="221" t="str">
        <f t="shared" si="99"/>
        <v/>
      </c>
      <c r="AH744" s="222" t="str">
        <f t="shared" si="101"/>
        <v/>
      </c>
      <c r="AI744" s="220">
        <f t="shared" si="106"/>
        <v>4</v>
      </c>
      <c r="AJ744" s="222">
        <f t="shared" si="102"/>
        <v>0</v>
      </c>
      <c r="AK744" s="299" t="str">
        <f>IF(ISERROR(LOOKUP(E744,WKNrListe,Übersicht!$R$7:$R$46)),"-",LOOKUP(E744,WKNrListe,Übersicht!$R$7:$R$46))</f>
        <v>-</v>
      </c>
      <c r="AL744" s="299" t="str">
        <f t="shared" si="105"/>
        <v>-</v>
      </c>
      <c r="AM744" s="303"/>
      <c r="AN744" s="174" t="str">
        <f t="shared" si="98"/>
        <v>Leer</v>
      </c>
    </row>
    <row r="745" spans="1:40" s="174" customFormat="1" ht="15" customHeight="1">
      <c r="A745" s="63"/>
      <c r="B745" s="63"/>
      <c r="C745" s="84"/>
      <c r="D745" s="85"/>
      <c r="E745" s="62"/>
      <c r="F745" s="62"/>
      <c r="G745" s="62"/>
      <c r="H745" s="62"/>
      <c r="I745" s="62"/>
      <c r="J745" s="62"/>
      <c r="K745" s="62"/>
      <c r="L745" s="62"/>
      <c r="M745" s="62"/>
      <c r="N745" s="62"/>
      <c r="O745" s="62"/>
      <c r="P745" s="62"/>
      <c r="Q745" s="62"/>
      <c r="R745" s="62"/>
      <c r="S745" s="258"/>
      <c r="T745" s="248" t="str">
        <f t="shared" si="103"/>
        <v/>
      </c>
      <c r="U745" s="249" t="str">
        <f t="shared" si="104"/>
        <v/>
      </c>
      <c r="V745" s="294" t="str">
        <f t="shared" si="100"/>
        <v/>
      </c>
      <c r="W745" s="294" t="str">
        <f>IF(((E745="")+(F745="")),"",IF(VLOOKUP(F745,Mannschaften!$A$1:$B$54,2,FALSE)&lt;&gt;E745,"Reiter Mannschaften füllen",""))</f>
        <v/>
      </c>
      <c r="X745" s="248" t="str">
        <f>IF(ISBLANK(C745),"",IF((U745&gt;(LOOKUP(E745,WKNrListe,Übersicht!$O$7:$O$46)))+(U745&lt;(LOOKUP(E745,WKNrListe,Übersicht!$P$7:$P$46))),"JG falsch",""))</f>
        <v/>
      </c>
      <c r="Y745" s="255" t="str">
        <f>IF((A745="")*(B745=""),"",IF(ISERROR(MATCH(E745,WKNrListe,0)),"WK falsch",LOOKUP(E745,WKNrListe,Übersicht!$B$7:$B$46)))</f>
        <v/>
      </c>
      <c r="Z745" s="269" t="str">
        <f>IF(((AJ745=0)*(AH745&lt;&gt;"")*(AK745="-"))+((AJ745&lt;&gt;0)*(AH745&lt;&gt;"")*(AK745="-")),IF(AG745="X",Übersicht!$C$70,Übersicht!$C$69),"-")</f>
        <v>-</v>
      </c>
      <c r="AA745" s="252" t="str">
        <f>IF((($A745="")*($B745=""))+((MID($Y745,1,4)&lt;&gt;"Wahl")*(Deckblatt!$C$14='WK-Vorlagen'!$C$82))+(Deckblatt!$C$14&lt;&gt;'WK-Vorlagen'!$C$82),"",IF(ISERROR(MATCH(VALUE(MID(G745,1,2)),Schwierigkeitsstufen!$G$7:$G$19,0)),"Gerät falsch",LOOKUP(VALUE(MID(G745,1,2)),Schwierigkeitsstufen!$G$7:$G$19,Schwierigkeitsstufen!$H$7:$H$19)))</f>
        <v/>
      </c>
      <c r="AB745" s="250" t="str">
        <f>IF((($A745="")*($B745=""))+((MID($Y745,1,4)&lt;&gt;"Wahl")*(Deckblatt!$C$14='WK-Vorlagen'!$C$82))+(Deckblatt!$C$14&lt;&gt;'WK-Vorlagen'!$C$82),"",IF(ISERROR(MATCH(VALUE(MID(H745,1,2)),Schwierigkeitsstufen!$G$7:$G$19,0)),"Gerät falsch",LOOKUP(VALUE(MID(H745,1,2)),Schwierigkeitsstufen!$G$7:$G$19,Schwierigkeitsstufen!$H$7:$H$19)))</f>
        <v/>
      </c>
      <c r="AC745" s="250" t="str">
        <f>IF((($A745="")*($B745=""))+((MID($Y745,1,4)&lt;&gt;"Wahl")*(Deckblatt!$C$14='WK-Vorlagen'!$C$82))+(Deckblatt!$C$14&lt;&gt;'WK-Vorlagen'!$C$82),"",IF(ISERROR(MATCH(VALUE(MID(I745,1,2)),Schwierigkeitsstufen!$G$7:$G$19,0)),"Gerät falsch",LOOKUP(VALUE(MID(I745,1,2)),Schwierigkeitsstufen!$G$7:$G$19,Schwierigkeitsstufen!$H$7:$H$19)))</f>
        <v/>
      </c>
      <c r="AD745" s="251" t="str">
        <f>IF((($A745="")*($B745=""))+((MID($Y745,1,4)&lt;&gt;"Wahl")*(Deckblatt!$C$14='WK-Vorlagen'!$C$82))+(Deckblatt!$C$14&lt;&gt;'WK-Vorlagen'!$C$82),"",IF(ISERROR(MATCH(VALUE(MID(J745,1,2)),Schwierigkeitsstufen!$G$7:$G$19,0)),"Gerät falsch",LOOKUP(VALUE(MID(J745,1,2)),Schwierigkeitsstufen!$G$7:$G$19,Schwierigkeitsstufen!$H$7:$H$19)))</f>
        <v/>
      </c>
      <c r="AE745" s="211"/>
      <c r="AG745" s="221" t="str">
        <f t="shared" si="99"/>
        <v/>
      </c>
      <c r="AH745" s="222" t="str">
        <f t="shared" si="101"/>
        <v/>
      </c>
      <c r="AI745" s="220">
        <f t="shared" si="106"/>
        <v>4</v>
      </c>
      <c r="AJ745" s="222">
        <f t="shared" si="102"/>
        <v>0</v>
      </c>
      <c r="AK745" s="299" t="str">
        <f>IF(ISERROR(LOOKUP(E745,WKNrListe,Übersicht!$R$7:$R$46)),"-",LOOKUP(E745,WKNrListe,Übersicht!$R$7:$R$46))</f>
        <v>-</v>
      </c>
      <c r="AL745" s="299" t="str">
        <f t="shared" si="105"/>
        <v>-</v>
      </c>
      <c r="AM745" s="303"/>
      <c r="AN745" s="174" t="str">
        <f t="shared" si="98"/>
        <v>Leer</v>
      </c>
    </row>
    <row r="746" spans="1:40" s="174" customFormat="1" ht="15" customHeight="1">
      <c r="A746" s="63"/>
      <c r="B746" s="63"/>
      <c r="C746" s="84"/>
      <c r="D746" s="85"/>
      <c r="E746" s="62"/>
      <c r="F746" s="62"/>
      <c r="G746" s="62"/>
      <c r="H746" s="62"/>
      <c r="I746" s="62"/>
      <c r="J746" s="62"/>
      <c r="K746" s="62"/>
      <c r="L746" s="62"/>
      <c r="M746" s="62"/>
      <c r="N746" s="62"/>
      <c r="O746" s="62"/>
      <c r="P746" s="62"/>
      <c r="Q746" s="62"/>
      <c r="R746" s="62"/>
      <c r="S746" s="258"/>
      <c r="T746" s="248" t="str">
        <f t="shared" si="103"/>
        <v/>
      </c>
      <c r="U746" s="249" t="str">
        <f t="shared" si="104"/>
        <v/>
      </c>
      <c r="V746" s="294" t="str">
        <f t="shared" si="100"/>
        <v/>
      </c>
      <c r="W746" s="294" t="str">
        <f>IF(((E746="")+(F746="")),"",IF(VLOOKUP(F746,Mannschaften!$A$1:$B$54,2,FALSE)&lt;&gt;E746,"Reiter Mannschaften füllen",""))</f>
        <v/>
      </c>
      <c r="X746" s="248" t="str">
        <f>IF(ISBLANK(C746),"",IF((U746&gt;(LOOKUP(E746,WKNrListe,Übersicht!$O$7:$O$46)))+(U746&lt;(LOOKUP(E746,WKNrListe,Übersicht!$P$7:$P$46))),"JG falsch",""))</f>
        <v/>
      </c>
      <c r="Y746" s="255" t="str">
        <f>IF((A746="")*(B746=""),"",IF(ISERROR(MATCH(E746,WKNrListe,0)),"WK falsch",LOOKUP(E746,WKNrListe,Übersicht!$B$7:$B$46)))</f>
        <v/>
      </c>
      <c r="Z746" s="269" t="str">
        <f>IF(((AJ746=0)*(AH746&lt;&gt;"")*(AK746="-"))+((AJ746&lt;&gt;0)*(AH746&lt;&gt;"")*(AK746="-")),IF(AG746="X",Übersicht!$C$70,Übersicht!$C$69),"-")</f>
        <v>-</v>
      </c>
      <c r="AA746" s="252" t="str">
        <f>IF((($A746="")*($B746=""))+((MID($Y746,1,4)&lt;&gt;"Wahl")*(Deckblatt!$C$14='WK-Vorlagen'!$C$82))+(Deckblatt!$C$14&lt;&gt;'WK-Vorlagen'!$C$82),"",IF(ISERROR(MATCH(VALUE(MID(G746,1,2)),Schwierigkeitsstufen!$G$7:$G$19,0)),"Gerät falsch",LOOKUP(VALUE(MID(G746,1,2)),Schwierigkeitsstufen!$G$7:$G$19,Schwierigkeitsstufen!$H$7:$H$19)))</f>
        <v/>
      </c>
      <c r="AB746" s="250" t="str">
        <f>IF((($A746="")*($B746=""))+((MID($Y746,1,4)&lt;&gt;"Wahl")*(Deckblatt!$C$14='WK-Vorlagen'!$C$82))+(Deckblatt!$C$14&lt;&gt;'WK-Vorlagen'!$C$82),"",IF(ISERROR(MATCH(VALUE(MID(H746,1,2)),Schwierigkeitsstufen!$G$7:$G$19,0)),"Gerät falsch",LOOKUP(VALUE(MID(H746,1,2)),Schwierigkeitsstufen!$G$7:$G$19,Schwierigkeitsstufen!$H$7:$H$19)))</f>
        <v/>
      </c>
      <c r="AC746" s="250" t="str">
        <f>IF((($A746="")*($B746=""))+((MID($Y746,1,4)&lt;&gt;"Wahl")*(Deckblatt!$C$14='WK-Vorlagen'!$C$82))+(Deckblatt!$C$14&lt;&gt;'WK-Vorlagen'!$C$82),"",IF(ISERROR(MATCH(VALUE(MID(I746,1,2)),Schwierigkeitsstufen!$G$7:$G$19,0)),"Gerät falsch",LOOKUP(VALUE(MID(I746,1,2)),Schwierigkeitsstufen!$G$7:$G$19,Schwierigkeitsstufen!$H$7:$H$19)))</f>
        <v/>
      </c>
      <c r="AD746" s="251" t="str">
        <f>IF((($A746="")*($B746=""))+((MID($Y746,1,4)&lt;&gt;"Wahl")*(Deckblatt!$C$14='WK-Vorlagen'!$C$82))+(Deckblatt!$C$14&lt;&gt;'WK-Vorlagen'!$C$82),"",IF(ISERROR(MATCH(VALUE(MID(J746,1,2)),Schwierigkeitsstufen!$G$7:$G$19,0)),"Gerät falsch",LOOKUP(VALUE(MID(J746,1,2)),Schwierigkeitsstufen!$G$7:$G$19,Schwierigkeitsstufen!$H$7:$H$19)))</f>
        <v/>
      </c>
      <c r="AE746" s="211"/>
      <c r="AG746" s="221" t="str">
        <f t="shared" si="99"/>
        <v/>
      </c>
      <c r="AH746" s="222" t="str">
        <f t="shared" si="101"/>
        <v/>
      </c>
      <c r="AI746" s="220">
        <f t="shared" si="106"/>
        <v>4</v>
      </c>
      <c r="AJ746" s="222">
        <f t="shared" si="102"/>
        <v>0</v>
      </c>
      <c r="AK746" s="299" t="str">
        <f>IF(ISERROR(LOOKUP(E746,WKNrListe,Übersicht!$R$7:$R$46)),"-",LOOKUP(E746,WKNrListe,Übersicht!$R$7:$R$46))</f>
        <v>-</v>
      </c>
      <c r="AL746" s="299" t="str">
        <f t="shared" si="105"/>
        <v>-</v>
      </c>
      <c r="AM746" s="303"/>
      <c r="AN746" s="174" t="str">
        <f t="shared" si="98"/>
        <v>Leer</v>
      </c>
    </row>
    <row r="747" spans="1:40" s="174" customFormat="1" ht="15" customHeight="1">
      <c r="A747" s="63"/>
      <c r="B747" s="63"/>
      <c r="C747" s="84"/>
      <c r="D747" s="85"/>
      <c r="E747" s="62"/>
      <c r="F747" s="62"/>
      <c r="G747" s="62"/>
      <c r="H747" s="62"/>
      <c r="I747" s="62"/>
      <c r="J747" s="62"/>
      <c r="K747" s="62"/>
      <c r="L747" s="62"/>
      <c r="M747" s="62"/>
      <c r="N747" s="62"/>
      <c r="O747" s="62"/>
      <c r="P747" s="62"/>
      <c r="Q747" s="62"/>
      <c r="R747" s="62"/>
      <c r="S747" s="258"/>
      <c r="T747" s="248" t="str">
        <f t="shared" si="103"/>
        <v/>
      </c>
      <c r="U747" s="249" t="str">
        <f t="shared" si="104"/>
        <v/>
      </c>
      <c r="V747" s="294" t="str">
        <f t="shared" si="100"/>
        <v/>
      </c>
      <c r="W747" s="294" t="str">
        <f>IF(((E747="")+(F747="")),"",IF(VLOOKUP(F747,Mannschaften!$A$1:$B$54,2,FALSE)&lt;&gt;E747,"Reiter Mannschaften füllen",""))</f>
        <v/>
      </c>
      <c r="X747" s="248" t="str">
        <f>IF(ISBLANK(C747),"",IF((U747&gt;(LOOKUP(E747,WKNrListe,Übersicht!$O$7:$O$46)))+(U747&lt;(LOOKUP(E747,WKNrListe,Übersicht!$P$7:$P$46))),"JG falsch",""))</f>
        <v/>
      </c>
      <c r="Y747" s="255" t="str">
        <f>IF((A747="")*(B747=""),"",IF(ISERROR(MATCH(E747,WKNrListe,0)),"WK falsch",LOOKUP(E747,WKNrListe,Übersicht!$B$7:$B$46)))</f>
        <v/>
      </c>
      <c r="Z747" s="269" t="str">
        <f>IF(((AJ747=0)*(AH747&lt;&gt;"")*(AK747="-"))+((AJ747&lt;&gt;0)*(AH747&lt;&gt;"")*(AK747="-")),IF(AG747="X",Übersicht!$C$70,Übersicht!$C$69),"-")</f>
        <v>-</v>
      </c>
      <c r="AA747" s="252" t="str">
        <f>IF((($A747="")*($B747=""))+((MID($Y747,1,4)&lt;&gt;"Wahl")*(Deckblatt!$C$14='WK-Vorlagen'!$C$82))+(Deckblatt!$C$14&lt;&gt;'WK-Vorlagen'!$C$82),"",IF(ISERROR(MATCH(VALUE(MID(G747,1,2)),Schwierigkeitsstufen!$G$7:$G$19,0)),"Gerät falsch",LOOKUP(VALUE(MID(G747,1,2)),Schwierigkeitsstufen!$G$7:$G$19,Schwierigkeitsstufen!$H$7:$H$19)))</f>
        <v/>
      </c>
      <c r="AB747" s="250" t="str">
        <f>IF((($A747="")*($B747=""))+((MID($Y747,1,4)&lt;&gt;"Wahl")*(Deckblatt!$C$14='WK-Vorlagen'!$C$82))+(Deckblatt!$C$14&lt;&gt;'WK-Vorlagen'!$C$82),"",IF(ISERROR(MATCH(VALUE(MID(H747,1,2)),Schwierigkeitsstufen!$G$7:$G$19,0)),"Gerät falsch",LOOKUP(VALUE(MID(H747,1,2)),Schwierigkeitsstufen!$G$7:$G$19,Schwierigkeitsstufen!$H$7:$H$19)))</f>
        <v/>
      </c>
      <c r="AC747" s="250" t="str">
        <f>IF((($A747="")*($B747=""))+((MID($Y747,1,4)&lt;&gt;"Wahl")*(Deckblatt!$C$14='WK-Vorlagen'!$C$82))+(Deckblatt!$C$14&lt;&gt;'WK-Vorlagen'!$C$82),"",IF(ISERROR(MATCH(VALUE(MID(I747,1,2)),Schwierigkeitsstufen!$G$7:$G$19,0)),"Gerät falsch",LOOKUP(VALUE(MID(I747,1,2)),Schwierigkeitsstufen!$G$7:$G$19,Schwierigkeitsstufen!$H$7:$H$19)))</f>
        <v/>
      </c>
      <c r="AD747" s="251" t="str">
        <f>IF((($A747="")*($B747=""))+((MID($Y747,1,4)&lt;&gt;"Wahl")*(Deckblatt!$C$14='WK-Vorlagen'!$C$82))+(Deckblatt!$C$14&lt;&gt;'WK-Vorlagen'!$C$82),"",IF(ISERROR(MATCH(VALUE(MID(J747,1,2)),Schwierigkeitsstufen!$G$7:$G$19,0)),"Gerät falsch",LOOKUP(VALUE(MID(J747,1,2)),Schwierigkeitsstufen!$G$7:$G$19,Schwierigkeitsstufen!$H$7:$H$19)))</f>
        <v/>
      </c>
      <c r="AE747" s="211"/>
      <c r="AG747" s="221" t="str">
        <f t="shared" si="99"/>
        <v/>
      </c>
      <c r="AH747" s="222" t="str">
        <f t="shared" si="101"/>
        <v/>
      </c>
      <c r="AI747" s="220">
        <f t="shared" si="106"/>
        <v>4</v>
      </c>
      <c r="AJ747" s="222">
        <f t="shared" si="102"/>
        <v>0</v>
      </c>
      <c r="AK747" s="299" t="str">
        <f>IF(ISERROR(LOOKUP(E747,WKNrListe,Übersicht!$R$7:$R$46)),"-",LOOKUP(E747,WKNrListe,Übersicht!$R$7:$R$46))</f>
        <v>-</v>
      </c>
      <c r="AL747" s="299" t="str">
        <f t="shared" si="105"/>
        <v>-</v>
      </c>
      <c r="AM747" s="303"/>
      <c r="AN747" s="174" t="str">
        <f t="shared" si="98"/>
        <v>Leer</v>
      </c>
    </row>
    <row r="748" spans="1:40" s="174" customFormat="1" ht="15" customHeight="1">
      <c r="A748" s="63"/>
      <c r="B748" s="63"/>
      <c r="C748" s="84"/>
      <c r="D748" s="85"/>
      <c r="E748" s="62"/>
      <c r="F748" s="62"/>
      <c r="G748" s="62"/>
      <c r="H748" s="62"/>
      <c r="I748" s="62"/>
      <c r="J748" s="62"/>
      <c r="K748" s="62"/>
      <c r="L748" s="62"/>
      <c r="M748" s="62"/>
      <c r="N748" s="62"/>
      <c r="O748" s="62"/>
      <c r="P748" s="62"/>
      <c r="Q748" s="62"/>
      <c r="R748" s="62"/>
      <c r="S748" s="258"/>
      <c r="T748" s="248" t="str">
        <f t="shared" si="103"/>
        <v/>
      </c>
      <c r="U748" s="249" t="str">
        <f t="shared" si="104"/>
        <v/>
      </c>
      <c r="V748" s="294" t="str">
        <f t="shared" si="100"/>
        <v/>
      </c>
      <c r="W748" s="294" t="str">
        <f>IF(((E748="")+(F748="")),"",IF(VLOOKUP(F748,Mannschaften!$A$1:$B$54,2,FALSE)&lt;&gt;E748,"Reiter Mannschaften füllen",""))</f>
        <v/>
      </c>
      <c r="X748" s="248" t="str">
        <f>IF(ISBLANK(C748),"",IF((U748&gt;(LOOKUP(E748,WKNrListe,Übersicht!$O$7:$O$46)))+(U748&lt;(LOOKUP(E748,WKNrListe,Übersicht!$P$7:$P$46))),"JG falsch",""))</f>
        <v/>
      </c>
      <c r="Y748" s="255" t="str">
        <f>IF((A748="")*(B748=""),"",IF(ISERROR(MATCH(E748,WKNrListe,0)),"WK falsch",LOOKUP(E748,WKNrListe,Übersicht!$B$7:$B$46)))</f>
        <v/>
      </c>
      <c r="Z748" s="269" t="str">
        <f>IF(((AJ748=0)*(AH748&lt;&gt;"")*(AK748="-"))+((AJ748&lt;&gt;0)*(AH748&lt;&gt;"")*(AK748="-")),IF(AG748="X",Übersicht!$C$70,Übersicht!$C$69),"-")</f>
        <v>-</v>
      </c>
      <c r="AA748" s="252" t="str">
        <f>IF((($A748="")*($B748=""))+((MID($Y748,1,4)&lt;&gt;"Wahl")*(Deckblatt!$C$14='WK-Vorlagen'!$C$82))+(Deckblatt!$C$14&lt;&gt;'WK-Vorlagen'!$C$82),"",IF(ISERROR(MATCH(VALUE(MID(G748,1,2)),Schwierigkeitsstufen!$G$7:$G$19,0)),"Gerät falsch",LOOKUP(VALUE(MID(G748,1,2)),Schwierigkeitsstufen!$G$7:$G$19,Schwierigkeitsstufen!$H$7:$H$19)))</f>
        <v/>
      </c>
      <c r="AB748" s="250" t="str">
        <f>IF((($A748="")*($B748=""))+((MID($Y748,1,4)&lt;&gt;"Wahl")*(Deckblatt!$C$14='WK-Vorlagen'!$C$82))+(Deckblatt!$C$14&lt;&gt;'WK-Vorlagen'!$C$82),"",IF(ISERROR(MATCH(VALUE(MID(H748,1,2)),Schwierigkeitsstufen!$G$7:$G$19,0)),"Gerät falsch",LOOKUP(VALUE(MID(H748,1,2)),Schwierigkeitsstufen!$G$7:$G$19,Schwierigkeitsstufen!$H$7:$H$19)))</f>
        <v/>
      </c>
      <c r="AC748" s="250" t="str">
        <f>IF((($A748="")*($B748=""))+((MID($Y748,1,4)&lt;&gt;"Wahl")*(Deckblatt!$C$14='WK-Vorlagen'!$C$82))+(Deckblatt!$C$14&lt;&gt;'WK-Vorlagen'!$C$82),"",IF(ISERROR(MATCH(VALUE(MID(I748,1,2)),Schwierigkeitsstufen!$G$7:$G$19,0)),"Gerät falsch",LOOKUP(VALUE(MID(I748,1,2)),Schwierigkeitsstufen!$G$7:$G$19,Schwierigkeitsstufen!$H$7:$H$19)))</f>
        <v/>
      </c>
      <c r="AD748" s="251" t="str">
        <f>IF((($A748="")*($B748=""))+((MID($Y748,1,4)&lt;&gt;"Wahl")*(Deckblatt!$C$14='WK-Vorlagen'!$C$82))+(Deckblatt!$C$14&lt;&gt;'WK-Vorlagen'!$C$82),"",IF(ISERROR(MATCH(VALUE(MID(J748,1,2)),Schwierigkeitsstufen!$G$7:$G$19,0)),"Gerät falsch",LOOKUP(VALUE(MID(J748,1,2)),Schwierigkeitsstufen!$G$7:$G$19,Schwierigkeitsstufen!$H$7:$H$19)))</f>
        <v/>
      </c>
      <c r="AE748" s="211"/>
      <c r="AG748" s="221" t="str">
        <f t="shared" si="99"/>
        <v/>
      </c>
      <c r="AH748" s="222" t="str">
        <f t="shared" si="101"/>
        <v/>
      </c>
      <c r="AI748" s="220">
        <f t="shared" si="106"/>
        <v>4</v>
      </c>
      <c r="AJ748" s="222">
        <f t="shared" si="102"/>
        <v>0</v>
      </c>
      <c r="AK748" s="299" t="str">
        <f>IF(ISERROR(LOOKUP(E748,WKNrListe,Übersicht!$R$7:$R$46)),"-",LOOKUP(E748,WKNrListe,Übersicht!$R$7:$R$46))</f>
        <v>-</v>
      </c>
      <c r="AL748" s="299" t="str">
        <f t="shared" si="105"/>
        <v>-</v>
      </c>
      <c r="AM748" s="303"/>
      <c r="AN748" s="174" t="str">
        <f t="shared" si="98"/>
        <v>Leer</v>
      </c>
    </row>
    <row r="749" spans="1:40" s="174" customFormat="1" ht="15" customHeight="1">
      <c r="A749" s="63"/>
      <c r="B749" s="63"/>
      <c r="C749" s="84"/>
      <c r="D749" s="85"/>
      <c r="E749" s="62"/>
      <c r="F749" s="62"/>
      <c r="G749" s="62"/>
      <c r="H749" s="62"/>
      <c r="I749" s="62"/>
      <c r="J749" s="62"/>
      <c r="K749" s="62"/>
      <c r="L749" s="62"/>
      <c r="M749" s="62"/>
      <c r="N749" s="62"/>
      <c r="O749" s="62"/>
      <c r="P749" s="62"/>
      <c r="Q749" s="62"/>
      <c r="R749" s="62"/>
      <c r="S749" s="258"/>
      <c r="T749" s="248" t="str">
        <f t="shared" si="103"/>
        <v/>
      </c>
      <c r="U749" s="249" t="str">
        <f t="shared" si="104"/>
        <v/>
      </c>
      <c r="V749" s="294" t="str">
        <f t="shared" si="100"/>
        <v/>
      </c>
      <c r="W749" s="294" t="str">
        <f>IF(((E749="")+(F749="")),"",IF(VLOOKUP(F749,Mannschaften!$A$1:$B$54,2,FALSE)&lt;&gt;E749,"Reiter Mannschaften füllen",""))</f>
        <v/>
      </c>
      <c r="X749" s="248" t="str">
        <f>IF(ISBLANK(C749),"",IF((U749&gt;(LOOKUP(E749,WKNrListe,Übersicht!$O$7:$O$46)))+(U749&lt;(LOOKUP(E749,WKNrListe,Übersicht!$P$7:$P$46))),"JG falsch",""))</f>
        <v/>
      </c>
      <c r="Y749" s="255" t="str">
        <f>IF((A749="")*(B749=""),"",IF(ISERROR(MATCH(E749,WKNrListe,0)),"WK falsch",LOOKUP(E749,WKNrListe,Übersicht!$B$7:$B$46)))</f>
        <v/>
      </c>
      <c r="Z749" s="269" t="str">
        <f>IF(((AJ749=0)*(AH749&lt;&gt;"")*(AK749="-"))+((AJ749&lt;&gt;0)*(AH749&lt;&gt;"")*(AK749="-")),IF(AG749="X",Übersicht!$C$70,Übersicht!$C$69),"-")</f>
        <v>-</v>
      </c>
      <c r="AA749" s="252" t="str">
        <f>IF((($A749="")*($B749=""))+((MID($Y749,1,4)&lt;&gt;"Wahl")*(Deckblatt!$C$14='WK-Vorlagen'!$C$82))+(Deckblatt!$C$14&lt;&gt;'WK-Vorlagen'!$C$82),"",IF(ISERROR(MATCH(VALUE(MID(G749,1,2)),Schwierigkeitsstufen!$G$7:$G$19,0)),"Gerät falsch",LOOKUP(VALUE(MID(G749,1,2)),Schwierigkeitsstufen!$G$7:$G$19,Schwierigkeitsstufen!$H$7:$H$19)))</f>
        <v/>
      </c>
      <c r="AB749" s="250" t="str">
        <f>IF((($A749="")*($B749=""))+((MID($Y749,1,4)&lt;&gt;"Wahl")*(Deckblatt!$C$14='WK-Vorlagen'!$C$82))+(Deckblatt!$C$14&lt;&gt;'WK-Vorlagen'!$C$82),"",IF(ISERROR(MATCH(VALUE(MID(H749,1,2)),Schwierigkeitsstufen!$G$7:$G$19,0)),"Gerät falsch",LOOKUP(VALUE(MID(H749,1,2)),Schwierigkeitsstufen!$G$7:$G$19,Schwierigkeitsstufen!$H$7:$H$19)))</f>
        <v/>
      </c>
      <c r="AC749" s="250" t="str">
        <f>IF((($A749="")*($B749=""))+((MID($Y749,1,4)&lt;&gt;"Wahl")*(Deckblatt!$C$14='WK-Vorlagen'!$C$82))+(Deckblatt!$C$14&lt;&gt;'WK-Vorlagen'!$C$82),"",IF(ISERROR(MATCH(VALUE(MID(I749,1,2)),Schwierigkeitsstufen!$G$7:$G$19,0)),"Gerät falsch",LOOKUP(VALUE(MID(I749,1,2)),Schwierigkeitsstufen!$G$7:$G$19,Schwierigkeitsstufen!$H$7:$H$19)))</f>
        <v/>
      </c>
      <c r="AD749" s="251" t="str">
        <f>IF((($A749="")*($B749=""))+((MID($Y749,1,4)&lt;&gt;"Wahl")*(Deckblatt!$C$14='WK-Vorlagen'!$C$82))+(Deckblatt!$C$14&lt;&gt;'WK-Vorlagen'!$C$82),"",IF(ISERROR(MATCH(VALUE(MID(J749,1,2)),Schwierigkeitsstufen!$G$7:$G$19,0)),"Gerät falsch",LOOKUP(VALUE(MID(J749,1,2)),Schwierigkeitsstufen!$G$7:$G$19,Schwierigkeitsstufen!$H$7:$H$19)))</f>
        <v/>
      </c>
      <c r="AE749" s="211"/>
      <c r="AG749" s="221" t="str">
        <f t="shared" si="99"/>
        <v/>
      </c>
      <c r="AH749" s="222" t="str">
        <f t="shared" si="101"/>
        <v/>
      </c>
      <c r="AI749" s="220">
        <f t="shared" si="106"/>
        <v>4</v>
      </c>
      <c r="AJ749" s="222">
        <f t="shared" si="102"/>
        <v>0</v>
      </c>
      <c r="AK749" s="299" t="str">
        <f>IF(ISERROR(LOOKUP(E749,WKNrListe,Übersicht!$R$7:$R$46)),"-",LOOKUP(E749,WKNrListe,Übersicht!$R$7:$R$46))</f>
        <v>-</v>
      </c>
      <c r="AL749" s="299" t="str">
        <f t="shared" si="105"/>
        <v>-</v>
      </c>
      <c r="AM749" s="303"/>
      <c r="AN749" s="174" t="str">
        <f t="shared" si="98"/>
        <v>Leer</v>
      </c>
    </row>
    <row r="750" spans="1:40" s="174" customFormat="1" ht="15" customHeight="1">
      <c r="A750" s="63"/>
      <c r="B750" s="63"/>
      <c r="C750" s="84"/>
      <c r="D750" s="85"/>
      <c r="E750" s="62"/>
      <c r="F750" s="62"/>
      <c r="G750" s="62"/>
      <c r="H750" s="62"/>
      <c r="I750" s="62"/>
      <c r="J750" s="62"/>
      <c r="K750" s="62"/>
      <c r="L750" s="62"/>
      <c r="M750" s="62"/>
      <c r="N750" s="62"/>
      <c r="O750" s="62"/>
      <c r="P750" s="62"/>
      <c r="Q750" s="62"/>
      <c r="R750" s="62"/>
      <c r="S750" s="258"/>
      <c r="T750" s="248" t="str">
        <f t="shared" si="103"/>
        <v/>
      </c>
      <c r="U750" s="249" t="str">
        <f t="shared" si="104"/>
        <v/>
      </c>
      <c r="V750" s="294" t="str">
        <f t="shared" si="100"/>
        <v/>
      </c>
      <c r="W750" s="294" t="str">
        <f>IF(((E750="")+(F750="")),"",IF(VLOOKUP(F750,Mannschaften!$A$1:$B$54,2,FALSE)&lt;&gt;E750,"Reiter Mannschaften füllen",""))</f>
        <v/>
      </c>
      <c r="X750" s="248" t="str">
        <f>IF(ISBLANK(C750),"",IF((U750&gt;(LOOKUP(E750,WKNrListe,Übersicht!$O$7:$O$46)))+(U750&lt;(LOOKUP(E750,WKNrListe,Übersicht!$P$7:$P$46))),"JG falsch",""))</f>
        <v/>
      </c>
      <c r="Y750" s="255" t="str">
        <f>IF((A750="")*(B750=""),"",IF(ISERROR(MATCH(E750,WKNrListe,0)),"WK falsch",LOOKUP(E750,WKNrListe,Übersicht!$B$7:$B$46)))</f>
        <v/>
      </c>
      <c r="Z750" s="269" t="str">
        <f>IF(((AJ750=0)*(AH750&lt;&gt;"")*(AK750="-"))+((AJ750&lt;&gt;0)*(AH750&lt;&gt;"")*(AK750="-")),IF(AG750="X",Übersicht!$C$70,Übersicht!$C$69),"-")</f>
        <v>-</v>
      </c>
      <c r="AA750" s="252" t="str">
        <f>IF((($A750="")*($B750=""))+((MID($Y750,1,4)&lt;&gt;"Wahl")*(Deckblatt!$C$14='WK-Vorlagen'!$C$82))+(Deckblatt!$C$14&lt;&gt;'WK-Vorlagen'!$C$82),"",IF(ISERROR(MATCH(VALUE(MID(G750,1,2)),Schwierigkeitsstufen!$G$7:$G$19,0)),"Gerät falsch",LOOKUP(VALUE(MID(G750,1,2)),Schwierigkeitsstufen!$G$7:$G$19,Schwierigkeitsstufen!$H$7:$H$19)))</f>
        <v/>
      </c>
      <c r="AB750" s="250" t="str">
        <f>IF((($A750="")*($B750=""))+((MID($Y750,1,4)&lt;&gt;"Wahl")*(Deckblatt!$C$14='WK-Vorlagen'!$C$82))+(Deckblatt!$C$14&lt;&gt;'WK-Vorlagen'!$C$82),"",IF(ISERROR(MATCH(VALUE(MID(H750,1,2)),Schwierigkeitsstufen!$G$7:$G$19,0)),"Gerät falsch",LOOKUP(VALUE(MID(H750,1,2)),Schwierigkeitsstufen!$G$7:$G$19,Schwierigkeitsstufen!$H$7:$H$19)))</f>
        <v/>
      </c>
      <c r="AC750" s="250" t="str">
        <f>IF((($A750="")*($B750=""))+((MID($Y750,1,4)&lt;&gt;"Wahl")*(Deckblatt!$C$14='WK-Vorlagen'!$C$82))+(Deckblatt!$C$14&lt;&gt;'WK-Vorlagen'!$C$82),"",IF(ISERROR(MATCH(VALUE(MID(I750,1,2)),Schwierigkeitsstufen!$G$7:$G$19,0)),"Gerät falsch",LOOKUP(VALUE(MID(I750,1,2)),Schwierigkeitsstufen!$G$7:$G$19,Schwierigkeitsstufen!$H$7:$H$19)))</f>
        <v/>
      </c>
      <c r="AD750" s="251" t="str">
        <f>IF((($A750="")*($B750=""))+((MID($Y750,1,4)&lt;&gt;"Wahl")*(Deckblatt!$C$14='WK-Vorlagen'!$C$82))+(Deckblatt!$C$14&lt;&gt;'WK-Vorlagen'!$C$82),"",IF(ISERROR(MATCH(VALUE(MID(J750,1,2)),Schwierigkeitsstufen!$G$7:$G$19,0)),"Gerät falsch",LOOKUP(VALUE(MID(J750,1,2)),Schwierigkeitsstufen!$G$7:$G$19,Schwierigkeitsstufen!$H$7:$H$19)))</f>
        <v/>
      </c>
      <c r="AE750" s="211"/>
      <c r="AG750" s="221" t="str">
        <f t="shared" si="99"/>
        <v/>
      </c>
      <c r="AH750" s="222" t="str">
        <f t="shared" si="101"/>
        <v/>
      </c>
      <c r="AI750" s="220">
        <f t="shared" si="106"/>
        <v>4</v>
      </c>
      <c r="AJ750" s="222">
        <f t="shared" si="102"/>
        <v>0</v>
      </c>
      <c r="AK750" s="299" t="str">
        <f>IF(ISERROR(LOOKUP(E750,WKNrListe,Übersicht!$R$7:$R$46)),"-",LOOKUP(E750,WKNrListe,Übersicht!$R$7:$R$46))</f>
        <v>-</v>
      </c>
      <c r="AL750" s="299" t="str">
        <f t="shared" si="105"/>
        <v>-</v>
      </c>
      <c r="AM750" s="303"/>
      <c r="AN750" s="174" t="str">
        <f t="shared" si="98"/>
        <v>Leer</v>
      </c>
    </row>
    <row r="751" spans="1:40" s="174" customFormat="1" ht="15" customHeight="1">
      <c r="A751" s="63"/>
      <c r="B751" s="63"/>
      <c r="C751" s="84"/>
      <c r="D751" s="85"/>
      <c r="E751" s="62"/>
      <c r="F751" s="62"/>
      <c r="G751" s="62"/>
      <c r="H751" s="62"/>
      <c r="I751" s="62"/>
      <c r="J751" s="62"/>
      <c r="K751" s="62"/>
      <c r="L751" s="62"/>
      <c r="M751" s="62"/>
      <c r="N751" s="62"/>
      <c r="O751" s="62"/>
      <c r="P751" s="62"/>
      <c r="Q751" s="62"/>
      <c r="R751" s="62"/>
      <c r="S751" s="258"/>
      <c r="T751" s="248" t="str">
        <f t="shared" si="103"/>
        <v/>
      </c>
      <c r="U751" s="249" t="str">
        <f t="shared" si="104"/>
        <v/>
      </c>
      <c r="V751" s="294" t="str">
        <f t="shared" si="100"/>
        <v/>
      </c>
      <c r="W751" s="294" t="str">
        <f>IF(((E751="")+(F751="")),"",IF(VLOOKUP(F751,Mannschaften!$A$1:$B$54,2,FALSE)&lt;&gt;E751,"Reiter Mannschaften füllen",""))</f>
        <v/>
      </c>
      <c r="X751" s="248" t="str">
        <f>IF(ISBLANK(C751),"",IF((U751&gt;(LOOKUP(E751,WKNrListe,Übersicht!$O$7:$O$46)))+(U751&lt;(LOOKUP(E751,WKNrListe,Übersicht!$P$7:$P$46))),"JG falsch",""))</f>
        <v/>
      </c>
      <c r="Y751" s="255" t="str">
        <f>IF((A751="")*(B751=""),"",IF(ISERROR(MATCH(E751,WKNrListe,0)),"WK falsch",LOOKUP(E751,WKNrListe,Übersicht!$B$7:$B$46)))</f>
        <v/>
      </c>
      <c r="Z751" s="269" t="str">
        <f>IF(((AJ751=0)*(AH751&lt;&gt;"")*(AK751="-"))+((AJ751&lt;&gt;0)*(AH751&lt;&gt;"")*(AK751="-")),IF(AG751="X",Übersicht!$C$70,Übersicht!$C$69),"-")</f>
        <v>-</v>
      </c>
      <c r="AA751" s="252" t="str">
        <f>IF((($A751="")*($B751=""))+((MID($Y751,1,4)&lt;&gt;"Wahl")*(Deckblatt!$C$14='WK-Vorlagen'!$C$82))+(Deckblatt!$C$14&lt;&gt;'WK-Vorlagen'!$C$82),"",IF(ISERROR(MATCH(VALUE(MID(G751,1,2)),Schwierigkeitsstufen!$G$7:$G$19,0)),"Gerät falsch",LOOKUP(VALUE(MID(G751,1,2)),Schwierigkeitsstufen!$G$7:$G$19,Schwierigkeitsstufen!$H$7:$H$19)))</f>
        <v/>
      </c>
      <c r="AB751" s="250" t="str">
        <f>IF((($A751="")*($B751=""))+((MID($Y751,1,4)&lt;&gt;"Wahl")*(Deckblatt!$C$14='WK-Vorlagen'!$C$82))+(Deckblatt!$C$14&lt;&gt;'WK-Vorlagen'!$C$82),"",IF(ISERROR(MATCH(VALUE(MID(H751,1,2)),Schwierigkeitsstufen!$G$7:$G$19,0)),"Gerät falsch",LOOKUP(VALUE(MID(H751,1,2)),Schwierigkeitsstufen!$G$7:$G$19,Schwierigkeitsstufen!$H$7:$H$19)))</f>
        <v/>
      </c>
      <c r="AC751" s="250" t="str">
        <f>IF((($A751="")*($B751=""))+((MID($Y751,1,4)&lt;&gt;"Wahl")*(Deckblatt!$C$14='WK-Vorlagen'!$C$82))+(Deckblatt!$C$14&lt;&gt;'WK-Vorlagen'!$C$82),"",IF(ISERROR(MATCH(VALUE(MID(I751,1,2)),Schwierigkeitsstufen!$G$7:$G$19,0)),"Gerät falsch",LOOKUP(VALUE(MID(I751,1,2)),Schwierigkeitsstufen!$G$7:$G$19,Schwierigkeitsstufen!$H$7:$H$19)))</f>
        <v/>
      </c>
      <c r="AD751" s="251" t="str">
        <f>IF((($A751="")*($B751=""))+((MID($Y751,1,4)&lt;&gt;"Wahl")*(Deckblatt!$C$14='WK-Vorlagen'!$C$82))+(Deckblatt!$C$14&lt;&gt;'WK-Vorlagen'!$C$82),"",IF(ISERROR(MATCH(VALUE(MID(J751,1,2)),Schwierigkeitsstufen!$G$7:$G$19,0)),"Gerät falsch",LOOKUP(VALUE(MID(J751,1,2)),Schwierigkeitsstufen!$G$7:$G$19,Schwierigkeitsstufen!$H$7:$H$19)))</f>
        <v/>
      </c>
      <c r="AE751" s="211"/>
      <c r="AG751" s="221" t="str">
        <f t="shared" si="99"/>
        <v/>
      </c>
      <c r="AH751" s="222" t="str">
        <f t="shared" si="101"/>
        <v/>
      </c>
      <c r="AI751" s="220">
        <f t="shared" si="106"/>
        <v>4</v>
      </c>
      <c r="AJ751" s="222">
        <f t="shared" si="102"/>
        <v>0</v>
      </c>
      <c r="AK751" s="299" t="str">
        <f>IF(ISERROR(LOOKUP(E751,WKNrListe,Übersicht!$R$7:$R$46)),"-",LOOKUP(E751,WKNrListe,Übersicht!$R$7:$R$46))</f>
        <v>-</v>
      </c>
      <c r="AL751" s="299" t="str">
        <f t="shared" si="105"/>
        <v>-</v>
      </c>
      <c r="AM751" s="303"/>
      <c r="AN751" s="174" t="str">
        <f t="shared" ref="AN751:AN814" si="107">IF(ISBLANK(A751)*ISBLANK(B751)*ISBLANK(C751)*ISBLANK(E751)*ISBLANK(F751)*ISBLANK(G751)*ISBLANK(H751)*ISBLANK(I751)*ISBLANK(J751),"Leer","Voll")</f>
        <v>Leer</v>
      </c>
    </row>
    <row r="752" spans="1:40" s="174" customFormat="1" ht="15" customHeight="1">
      <c r="A752" s="63"/>
      <c r="B752" s="63"/>
      <c r="C752" s="84"/>
      <c r="D752" s="85"/>
      <c r="E752" s="62"/>
      <c r="F752" s="62"/>
      <c r="G752" s="62"/>
      <c r="H752" s="62"/>
      <c r="I752" s="62"/>
      <c r="J752" s="62"/>
      <c r="K752" s="62"/>
      <c r="L752" s="62"/>
      <c r="M752" s="62"/>
      <c r="N752" s="62"/>
      <c r="O752" s="62"/>
      <c r="P752" s="62"/>
      <c r="Q752" s="62"/>
      <c r="R752" s="62"/>
      <c r="S752" s="258"/>
      <c r="T752" s="248" t="str">
        <f t="shared" si="103"/>
        <v/>
      </c>
      <c r="U752" s="249" t="str">
        <f t="shared" si="104"/>
        <v/>
      </c>
      <c r="V752" s="294" t="str">
        <f t="shared" si="100"/>
        <v/>
      </c>
      <c r="W752" s="294" t="str">
        <f>IF(((E752="")+(F752="")),"",IF(VLOOKUP(F752,Mannschaften!$A$1:$B$54,2,FALSE)&lt;&gt;E752,"Reiter Mannschaften füllen",""))</f>
        <v/>
      </c>
      <c r="X752" s="248" t="str">
        <f>IF(ISBLANK(C752),"",IF((U752&gt;(LOOKUP(E752,WKNrListe,Übersicht!$O$7:$O$46)))+(U752&lt;(LOOKUP(E752,WKNrListe,Übersicht!$P$7:$P$46))),"JG falsch",""))</f>
        <v/>
      </c>
      <c r="Y752" s="255" t="str">
        <f>IF((A752="")*(B752=""),"",IF(ISERROR(MATCH(E752,WKNrListe,0)),"WK falsch",LOOKUP(E752,WKNrListe,Übersicht!$B$7:$B$46)))</f>
        <v/>
      </c>
      <c r="Z752" s="269" t="str">
        <f>IF(((AJ752=0)*(AH752&lt;&gt;"")*(AK752="-"))+((AJ752&lt;&gt;0)*(AH752&lt;&gt;"")*(AK752="-")),IF(AG752="X",Übersicht!$C$70,Übersicht!$C$69),"-")</f>
        <v>-</v>
      </c>
      <c r="AA752" s="252" t="str">
        <f>IF((($A752="")*($B752=""))+((MID($Y752,1,4)&lt;&gt;"Wahl")*(Deckblatt!$C$14='WK-Vorlagen'!$C$82))+(Deckblatt!$C$14&lt;&gt;'WK-Vorlagen'!$C$82),"",IF(ISERROR(MATCH(VALUE(MID(G752,1,2)),Schwierigkeitsstufen!$G$7:$G$19,0)),"Gerät falsch",LOOKUP(VALUE(MID(G752,1,2)),Schwierigkeitsstufen!$G$7:$G$19,Schwierigkeitsstufen!$H$7:$H$19)))</f>
        <v/>
      </c>
      <c r="AB752" s="250" t="str">
        <f>IF((($A752="")*($B752=""))+((MID($Y752,1,4)&lt;&gt;"Wahl")*(Deckblatt!$C$14='WK-Vorlagen'!$C$82))+(Deckblatt!$C$14&lt;&gt;'WK-Vorlagen'!$C$82),"",IF(ISERROR(MATCH(VALUE(MID(H752,1,2)),Schwierigkeitsstufen!$G$7:$G$19,0)),"Gerät falsch",LOOKUP(VALUE(MID(H752,1,2)),Schwierigkeitsstufen!$G$7:$G$19,Schwierigkeitsstufen!$H$7:$H$19)))</f>
        <v/>
      </c>
      <c r="AC752" s="250" t="str">
        <f>IF((($A752="")*($B752=""))+((MID($Y752,1,4)&lt;&gt;"Wahl")*(Deckblatt!$C$14='WK-Vorlagen'!$C$82))+(Deckblatt!$C$14&lt;&gt;'WK-Vorlagen'!$C$82),"",IF(ISERROR(MATCH(VALUE(MID(I752,1,2)),Schwierigkeitsstufen!$G$7:$G$19,0)),"Gerät falsch",LOOKUP(VALUE(MID(I752,1,2)),Schwierigkeitsstufen!$G$7:$G$19,Schwierigkeitsstufen!$H$7:$H$19)))</f>
        <v/>
      </c>
      <c r="AD752" s="251" t="str">
        <f>IF((($A752="")*($B752=""))+((MID($Y752,1,4)&lt;&gt;"Wahl")*(Deckblatt!$C$14='WK-Vorlagen'!$C$82))+(Deckblatt!$C$14&lt;&gt;'WK-Vorlagen'!$C$82),"",IF(ISERROR(MATCH(VALUE(MID(J752,1,2)),Schwierigkeitsstufen!$G$7:$G$19,0)),"Gerät falsch",LOOKUP(VALUE(MID(J752,1,2)),Schwierigkeitsstufen!$G$7:$G$19,Schwierigkeitsstufen!$H$7:$H$19)))</f>
        <v/>
      </c>
      <c r="AE752" s="211"/>
      <c r="AG752" s="221" t="str">
        <f t="shared" si="99"/>
        <v/>
      </c>
      <c r="AH752" s="222" t="str">
        <f t="shared" si="101"/>
        <v/>
      </c>
      <c r="AI752" s="220">
        <f t="shared" si="106"/>
        <v>4</v>
      </c>
      <c r="AJ752" s="222">
        <f t="shared" si="102"/>
        <v>0</v>
      </c>
      <c r="AK752" s="299" t="str">
        <f>IF(ISERROR(LOOKUP(E752,WKNrListe,Übersicht!$R$7:$R$46)),"-",LOOKUP(E752,WKNrListe,Übersicht!$R$7:$R$46))</f>
        <v>-</v>
      </c>
      <c r="AL752" s="299" t="str">
        <f t="shared" si="105"/>
        <v>-</v>
      </c>
      <c r="AM752" s="303"/>
      <c r="AN752" s="174" t="str">
        <f t="shared" si="107"/>
        <v>Leer</v>
      </c>
    </row>
    <row r="753" spans="1:40" s="174" customFormat="1" ht="15" customHeight="1">
      <c r="A753" s="63"/>
      <c r="B753" s="63"/>
      <c r="C753" s="84"/>
      <c r="D753" s="85"/>
      <c r="E753" s="62"/>
      <c r="F753" s="62"/>
      <c r="G753" s="62"/>
      <c r="H753" s="62"/>
      <c r="I753" s="62"/>
      <c r="J753" s="62"/>
      <c r="K753" s="62"/>
      <c r="L753" s="62"/>
      <c r="M753" s="62"/>
      <c r="N753" s="62"/>
      <c r="O753" s="62"/>
      <c r="P753" s="62"/>
      <c r="Q753" s="62"/>
      <c r="R753" s="62"/>
      <c r="S753" s="258"/>
      <c r="T753" s="248" t="str">
        <f t="shared" si="103"/>
        <v/>
      </c>
      <c r="U753" s="249" t="str">
        <f t="shared" si="104"/>
        <v/>
      </c>
      <c r="V753" s="294" t="str">
        <f t="shared" si="100"/>
        <v/>
      </c>
      <c r="W753" s="294" t="str">
        <f>IF(((E753="")+(F753="")),"",IF(VLOOKUP(F753,Mannschaften!$A$1:$B$54,2,FALSE)&lt;&gt;E753,"Reiter Mannschaften füllen",""))</f>
        <v/>
      </c>
      <c r="X753" s="248" t="str">
        <f>IF(ISBLANK(C753),"",IF((U753&gt;(LOOKUP(E753,WKNrListe,Übersicht!$O$7:$O$46)))+(U753&lt;(LOOKUP(E753,WKNrListe,Übersicht!$P$7:$P$46))),"JG falsch",""))</f>
        <v/>
      </c>
      <c r="Y753" s="255" t="str">
        <f>IF((A753="")*(B753=""),"",IF(ISERROR(MATCH(E753,WKNrListe,0)),"WK falsch",LOOKUP(E753,WKNrListe,Übersicht!$B$7:$B$46)))</f>
        <v/>
      </c>
      <c r="Z753" s="269" t="str">
        <f>IF(((AJ753=0)*(AH753&lt;&gt;"")*(AK753="-"))+((AJ753&lt;&gt;0)*(AH753&lt;&gt;"")*(AK753="-")),IF(AG753="X",Übersicht!$C$70,Übersicht!$C$69),"-")</f>
        <v>-</v>
      </c>
      <c r="AA753" s="252" t="str">
        <f>IF((($A753="")*($B753=""))+((MID($Y753,1,4)&lt;&gt;"Wahl")*(Deckblatt!$C$14='WK-Vorlagen'!$C$82))+(Deckblatt!$C$14&lt;&gt;'WK-Vorlagen'!$C$82),"",IF(ISERROR(MATCH(VALUE(MID(G753,1,2)),Schwierigkeitsstufen!$G$7:$G$19,0)),"Gerät falsch",LOOKUP(VALUE(MID(G753,1,2)),Schwierigkeitsstufen!$G$7:$G$19,Schwierigkeitsstufen!$H$7:$H$19)))</f>
        <v/>
      </c>
      <c r="AB753" s="250" t="str">
        <f>IF((($A753="")*($B753=""))+((MID($Y753,1,4)&lt;&gt;"Wahl")*(Deckblatt!$C$14='WK-Vorlagen'!$C$82))+(Deckblatt!$C$14&lt;&gt;'WK-Vorlagen'!$C$82),"",IF(ISERROR(MATCH(VALUE(MID(H753,1,2)),Schwierigkeitsstufen!$G$7:$G$19,0)),"Gerät falsch",LOOKUP(VALUE(MID(H753,1,2)),Schwierigkeitsstufen!$G$7:$G$19,Schwierigkeitsstufen!$H$7:$H$19)))</f>
        <v/>
      </c>
      <c r="AC753" s="250" t="str">
        <f>IF((($A753="")*($B753=""))+((MID($Y753,1,4)&lt;&gt;"Wahl")*(Deckblatt!$C$14='WK-Vorlagen'!$C$82))+(Deckblatt!$C$14&lt;&gt;'WK-Vorlagen'!$C$82),"",IF(ISERROR(MATCH(VALUE(MID(I753,1,2)),Schwierigkeitsstufen!$G$7:$G$19,0)),"Gerät falsch",LOOKUP(VALUE(MID(I753,1,2)),Schwierigkeitsstufen!$G$7:$G$19,Schwierigkeitsstufen!$H$7:$H$19)))</f>
        <v/>
      </c>
      <c r="AD753" s="251" t="str">
        <f>IF((($A753="")*($B753=""))+((MID($Y753,1,4)&lt;&gt;"Wahl")*(Deckblatt!$C$14='WK-Vorlagen'!$C$82))+(Deckblatt!$C$14&lt;&gt;'WK-Vorlagen'!$C$82),"",IF(ISERROR(MATCH(VALUE(MID(J753,1,2)),Schwierigkeitsstufen!$G$7:$G$19,0)),"Gerät falsch",LOOKUP(VALUE(MID(J753,1,2)),Schwierigkeitsstufen!$G$7:$G$19,Schwierigkeitsstufen!$H$7:$H$19)))</f>
        <v/>
      </c>
      <c r="AE753" s="211"/>
      <c r="AG753" s="221" t="str">
        <f t="shared" si="99"/>
        <v/>
      </c>
      <c r="AH753" s="222" t="str">
        <f t="shared" si="101"/>
        <v/>
      </c>
      <c r="AI753" s="220">
        <f t="shared" si="106"/>
        <v>4</v>
      </c>
      <c r="AJ753" s="222">
        <f t="shared" si="102"/>
        <v>0</v>
      </c>
      <c r="AK753" s="299" t="str">
        <f>IF(ISERROR(LOOKUP(E753,WKNrListe,Übersicht!$R$7:$R$46)),"-",LOOKUP(E753,WKNrListe,Übersicht!$R$7:$R$46))</f>
        <v>-</v>
      </c>
      <c r="AL753" s="299" t="str">
        <f t="shared" si="105"/>
        <v>-</v>
      </c>
      <c r="AM753" s="303"/>
      <c r="AN753" s="174" t="str">
        <f t="shared" si="107"/>
        <v>Leer</v>
      </c>
    </row>
    <row r="754" spans="1:40" s="174" customFormat="1" ht="15" customHeight="1">
      <c r="A754" s="63"/>
      <c r="B754" s="63"/>
      <c r="C754" s="84"/>
      <c r="D754" s="85"/>
      <c r="E754" s="62"/>
      <c r="F754" s="62"/>
      <c r="G754" s="62"/>
      <c r="H754" s="62"/>
      <c r="I754" s="62"/>
      <c r="J754" s="62"/>
      <c r="K754" s="62"/>
      <c r="L754" s="62"/>
      <c r="M754" s="62"/>
      <c r="N754" s="62"/>
      <c r="O754" s="62"/>
      <c r="P754" s="62"/>
      <c r="Q754" s="62"/>
      <c r="R754" s="62"/>
      <c r="S754" s="258"/>
      <c r="T754" s="248" t="str">
        <f t="shared" si="103"/>
        <v/>
      </c>
      <c r="U754" s="249" t="str">
        <f t="shared" si="104"/>
        <v/>
      </c>
      <c r="V754" s="294" t="str">
        <f t="shared" si="100"/>
        <v/>
      </c>
      <c r="W754" s="294" t="str">
        <f>IF(((E754="")+(F754="")),"",IF(VLOOKUP(F754,Mannschaften!$A$1:$B$54,2,FALSE)&lt;&gt;E754,"Reiter Mannschaften füllen",""))</f>
        <v/>
      </c>
      <c r="X754" s="248" t="str">
        <f>IF(ISBLANK(C754),"",IF((U754&gt;(LOOKUP(E754,WKNrListe,Übersicht!$O$7:$O$46)))+(U754&lt;(LOOKUP(E754,WKNrListe,Übersicht!$P$7:$P$46))),"JG falsch",""))</f>
        <v/>
      </c>
      <c r="Y754" s="255" t="str">
        <f>IF((A754="")*(B754=""),"",IF(ISERROR(MATCH(E754,WKNrListe,0)),"WK falsch",LOOKUP(E754,WKNrListe,Übersicht!$B$7:$B$46)))</f>
        <v/>
      </c>
      <c r="Z754" s="269" t="str">
        <f>IF(((AJ754=0)*(AH754&lt;&gt;"")*(AK754="-"))+((AJ754&lt;&gt;0)*(AH754&lt;&gt;"")*(AK754="-")),IF(AG754="X",Übersicht!$C$70,Übersicht!$C$69),"-")</f>
        <v>-</v>
      </c>
      <c r="AA754" s="252" t="str">
        <f>IF((($A754="")*($B754=""))+((MID($Y754,1,4)&lt;&gt;"Wahl")*(Deckblatt!$C$14='WK-Vorlagen'!$C$82))+(Deckblatt!$C$14&lt;&gt;'WK-Vorlagen'!$C$82),"",IF(ISERROR(MATCH(VALUE(MID(G754,1,2)),Schwierigkeitsstufen!$G$7:$G$19,0)),"Gerät falsch",LOOKUP(VALUE(MID(G754,1,2)),Schwierigkeitsstufen!$G$7:$G$19,Schwierigkeitsstufen!$H$7:$H$19)))</f>
        <v/>
      </c>
      <c r="AB754" s="250" t="str">
        <f>IF((($A754="")*($B754=""))+((MID($Y754,1,4)&lt;&gt;"Wahl")*(Deckblatt!$C$14='WK-Vorlagen'!$C$82))+(Deckblatt!$C$14&lt;&gt;'WK-Vorlagen'!$C$82),"",IF(ISERROR(MATCH(VALUE(MID(H754,1,2)),Schwierigkeitsstufen!$G$7:$G$19,0)),"Gerät falsch",LOOKUP(VALUE(MID(H754,1,2)),Schwierigkeitsstufen!$G$7:$G$19,Schwierigkeitsstufen!$H$7:$H$19)))</f>
        <v/>
      </c>
      <c r="AC754" s="250" t="str">
        <f>IF((($A754="")*($B754=""))+((MID($Y754,1,4)&lt;&gt;"Wahl")*(Deckblatt!$C$14='WK-Vorlagen'!$C$82))+(Deckblatt!$C$14&lt;&gt;'WK-Vorlagen'!$C$82),"",IF(ISERROR(MATCH(VALUE(MID(I754,1,2)),Schwierigkeitsstufen!$G$7:$G$19,0)),"Gerät falsch",LOOKUP(VALUE(MID(I754,1,2)),Schwierigkeitsstufen!$G$7:$G$19,Schwierigkeitsstufen!$H$7:$H$19)))</f>
        <v/>
      </c>
      <c r="AD754" s="251" t="str">
        <f>IF((($A754="")*($B754=""))+((MID($Y754,1,4)&lt;&gt;"Wahl")*(Deckblatt!$C$14='WK-Vorlagen'!$C$82))+(Deckblatt!$C$14&lt;&gt;'WK-Vorlagen'!$C$82),"",IF(ISERROR(MATCH(VALUE(MID(J754,1,2)),Schwierigkeitsstufen!$G$7:$G$19,0)),"Gerät falsch",LOOKUP(VALUE(MID(J754,1,2)),Schwierigkeitsstufen!$G$7:$G$19,Schwierigkeitsstufen!$H$7:$H$19)))</f>
        <v/>
      </c>
      <c r="AE754" s="211"/>
      <c r="AG754" s="221" t="str">
        <f t="shared" si="99"/>
        <v/>
      </c>
      <c r="AH754" s="222" t="str">
        <f t="shared" si="101"/>
        <v/>
      </c>
      <c r="AI754" s="220">
        <f t="shared" si="106"/>
        <v>4</v>
      </c>
      <c r="AJ754" s="222">
        <f t="shared" si="102"/>
        <v>0</v>
      </c>
      <c r="AK754" s="299" t="str">
        <f>IF(ISERROR(LOOKUP(E754,WKNrListe,Übersicht!$R$7:$R$46)),"-",LOOKUP(E754,WKNrListe,Übersicht!$R$7:$R$46))</f>
        <v>-</v>
      </c>
      <c r="AL754" s="299" t="str">
        <f t="shared" si="105"/>
        <v>-</v>
      </c>
      <c r="AM754" s="303"/>
      <c r="AN754" s="174" t="str">
        <f t="shared" si="107"/>
        <v>Leer</v>
      </c>
    </row>
    <row r="755" spans="1:40" s="174" customFormat="1" ht="15" customHeight="1">
      <c r="A755" s="63"/>
      <c r="B755" s="63"/>
      <c r="C755" s="84"/>
      <c r="D755" s="85"/>
      <c r="E755" s="62"/>
      <c r="F755" s="62"/>
      <c r="G755" s="62"/>
      <c r="H755" s="62"/>
      <c r="I755" s="62"/>
      <c r="J755" s="62"/>
      <c r="K755" s="62"/>
      <c r="L755" s="62"/>
      <c r="M755" s="62"/>
      <c r="N755" s="62"/>
      <c r="O755" s="62"/>
      <c r="P755" s="62"/>
      <c r="Q755" s="62"/>
      <c r="R755" s="62"/>
      <c r="S755" s="258"/>
      <c r="T755" s="248" t="str">
        <f t="shared" si="103"/>
        <v/>
      </c>
      <c r="U755" s="249" t="str">
        <f t="shared" si="104"/>
        <v/>
      </c>
      <c r="V755" s="294" t="str">
        <f t="shared" si="100"/>
        <v/>
      </c>
      <c r="W755" s="294" t="str">
        <f>IF(((E755="")+(F755="")),"",IF(VLOOKUP(F755,Mannschaften!$A$1:$B$54,2,FALSE)&lt;&gt;E755,"Reiter Mannschaften füllen",""))</f>
        <v/>
      </c>
      <c r="X755" s="248" t="str">
        <f>IF(ISBLANK(C755),"",IF((U755&gt;(LOOKUP(E755,WKNrListe,Übersicht!$O$7:$O$46)))+(U755&lt;(LOOKUP(E755,WKNrListe,Übersicht!$P$7:$P$46))),"JG falsch",""))</f>
        <v/>
      </c>
      <c r="Y755" s="255" t="str">
        <f>IF((A755="")*(B755=""),"",IF(ISERROR(MATCH(E755,WKNrListe,0)),"WK falsch",LOOKUP(E755,WKNrListe,Übersicht!$B$7:$B$46)))</f>
        <v/>
      </c>
      <c r="Z755" s="269" t="str">
        <f>IF(((AJ755=0)*(AH755&lt;&gt;"")*(AK755="-"))+((AJ755&lt;&gt;0)*(AH755&lt;&gt;"")*(AK755="-")),IF(AG755="X",Übersicht!$C$70,Übersicht!$C$69),"-")</f>
        <v>-</v>
      </c>
      <c r="AA755" s="252" t="str">
        <f>IF((($A755="")*($B755=""))+((MID($Y755,1,4)&lt;&gt;"Wahl")*(Deckblatt!$C$14='WK-Vorlagen'!$C$82))+(Deckblatt!$C$14&lt;&gt;'WK-Vorlagen'!$C$82),"",IF(ISERROR(MATCH(VALUE(MID(G755,1,2)),Schwierigkeitsstufen!$G$7:$G$19,0)),"Gerät falsch",LOOKUP(VALUE(MID(G755,1,2)),Schwierigkeitsstufen!$G$7:$G$19,Schwierigkeitsstufen!$H$7:$H$19)))</f>
        <v/>
      </c>
      <c r="AB755" s="250" t="str">
        <f>IF((($A755="")*($B755=""))+((MID($Y755,1,4)&lt;&gt;"Wahl")*(Deckblatt!$C$14='WK-Vorlagen'!$C$82))+(Deckblatt!$C$14&lt;&gt;'WK-Vorlagen'!$C$82),"",IF(ISERROR(MATCH(VALUE(MID(H755,1,2)),Schwierigkeitsstufen!$G$7:$G$19,0)),"Gerät falsch",LOOKUP(VALUE(MID(H755,1,2)),Schwierigkeitsstufen!$G$7:$G$19,Schwierigkeitsstufen!$H$7:$H$19)))</f>
        <v/>
      </c>
      <c r="AC755" s="250" t="str">
        <f>IF((($A755="")*($B755=""))+((MID($Y755,1,4)&lt;&gt;"Wahl")*(Deckblatt!$C$14='WK-Vorlagen'!$C$82))+(Deckblatt!$C$14&lt;&gt;'WK-Vorlagen'!$C$82),"",IF(ISERROR(MATCH(VALUE(MID(I755,1,2)),Schwierigkeitsstufen!$G$7:$G$19,0)),"Gerät falsch",LOOKUP(VALUE(MID(I755,1,2)),Schwierigkeitsstufen!$G$7:$G$19,Schwierigkeitsstufen!$H$7:$H$19)))</f>
        <v/>
      </c>
      <c r="AD755" s="251" t="str">
        <f>IF((($A755="")*($B755=""))+((MID($Y755,1,4)&lt;&gt;"Wahl")*(Deckblatt!$C$14='WK-Vorlagen'!$C$82))+(Deckblatt!$C$14&lt;&gt;'WK-Vorlagen'!$C$82),"",IF(ISERROR(MATCH(VALUE(MID(J755,1,2)),Schwierigkeitsstufen!$G$7:$G$19,0)),"Gerät falsch",LOOKUP(VALUE(MID(J755,1,2)),Schwierigkeitsstufen!$G$7:$G$19,Schwierigkeitsstufen!$H$7:$H$19)))</f>
        <v/>
      </c>
      <c r="AE755" s="211"/>
      <c r="AG755" s="221" t="str">
        <f t="shared" si="99"/>
        <v/>
      </c>
      <c r="AH755" s="222" t="str">
        <f t="shared" si="101"/>
        <v/>
      </c>
      <c r="AI755" s="220">
        <f t="shared" si="106"/>
        <v>4</v>
      </c>
      <c r="AJ755" s="222">
        <f t="shared" si="102"/>
        <v>0</v>
      </c>
      <c r="AK755" s="299" t="str">
        <f>IF(ISERROR(LOOKUP(E755,WKNrListe,Übersicht!$R$7:$R$46)),"-",LOOKUP(E755,WKNrListe,Übersicht!$R$7:$R$46))</f>
        <v>-</v>
      </c>
      <c r="AL755" s="299" t="str">
        <f t="shared" si="105"/>
        <v>-</v>
      </c>
      <c r="AM755" s="303"/>
      <c r="AN755" s="174" t="str">
        <f t="shared" si="107"/>
        <v>Leer</v>
      </c>
    </row>
    <row r="756" spans="1:40" s="174" customFormat="1" ht="15" customHeight="1">
      <c r="A756" s="63"/>
      <c r="B756" s="63"/>
      <c r="C756" s="84"/>
      <c r="D756" s="85"/>
      <c r="E756" s="62"/>
      <c r="F756" s="62"/>
      <c r="G756" s="62"/>
      <c r="H756" s="62"/>
      <c r="I756" s="62"/>
      <c r="J756" s="62"/>
      <c r="K756" s="62"/>
      <c r="L756" s="62"/>
      <c r="M756" s="62"/>
      <c r="N756" s="62"/>
      <c r="O756" s="62"/>
      <c r="P756" s="62"/>
      <c r="Q756" s="62"/>
      <c r="R756" s="62"/>
      <c r="S756" s="258"/>
      <c r="T756" s="248" t="str">
        <f t="shared" si="103"/>
        <v/>
      </c>
      <c r="U756" s="249" t="str">
        <f t="shared" si="104"/>
        <v/>
      </c>
      <c r="V756" s="294" t="str">
        <f t="shared" si="100"/>
        <v/>
      </c>
      <c r="W756" s="294" t="str">
        <f>IF(((E756="")+(F756="")),"",IF(VLOOKUP(F756,Mannschaften!$A$1:$B$54,2,FALSE)&lt;&gt;E756,"Reiter Mannschaften füllen",""))</f>
        <v/>
      </c>
      <c r="X756" s="248" t="str">
        <f>IF(ISBLANK(C756),"",IF((U756&gt;(LOOKUP(E756,WKNrListe,Übersicht!$O$7:$O$46)))+(U756&lt;(LOOKUP(E756,WKNrListe,Übersicht!$P$7:$P$46))),"JG falsch",""))</f>
        <v/>
      </c>
      <c r="Y756" s="255" t="str">
        <f>IF((A756="")*(B756=""),"",IF(ISERROR(MATCH(E756,WKNrListe,0)),"WK falsch",LOOKUP(E756,WKNrListe,Übersicht!$B$7:$B$46)))</f>
        <v/>
      </c>
      <c r="Z756" s="269" t="str">
        <f>IF(((AJ756=0)*(AH756&lt;&gt;"")*(AK756="-"))+((AJ756&lt;&gt;0)*(AH756&lt;&gt;"")*(AK756="-")),IF(AG756="X",Übersicht!$C$70,Übersicht!$C$69),"-")</f>
        <v>-</v>
      </c>
      <c r="AA756" s="252" t="str">
        <f>IF((($A756="")*($B756=""))+((MID($Y756,1,4)&lt;&gt;"Wahl")*(Deckblatt!$C$14='WK-Vorlagen'!$C$82))+(Deckblatt!$C$14&lt;&gt;'WK-Vorlagen'!$C$82),"",IF(ISERROR(MATCH(VALUE(MID(G756,1,2)),Schwierigkeitsstufen!$G$7:$G$19,0)),"Gerät falsch",LOOKUP(VALUE(MID(G756,1,2)),Schwierigkeitsstufen!$G$7:$G$19,Schwierigkeitsstufen!$H$7:$H$19)))</f>
        <v/>
      </c>
      <c r="AB756" s="250" t="str">
        <f>IF((($A756="")*($B756=""))+((MID($Y756,1,4)&lt;&gt;"Wahl")*(Deckblatt!$C$14='WK-Vorlagen'!$C$82))+(Deckblatt!$C$14&lt;&gt;'WK-Vorlagen'!$C$82),"",IF(ISERROR(MATCH(VALUE(MID(H756,1,2)),Schwierigkeitsstufen!$G$7:$G$19,0)),"Gerät falsch",LOOKUP(VALUE(MID(H756,1,2)),Schwierigkeitsstufen!$G$7:$G$19,Schwierigkeitsstufen!$H$7:$H$19)))</f>
        <v/>
      </c>
      <c r="AC756" s="250" t="str">
        <f>IF((($A756="")*($B756=""))+((MID($Y756,1,4)&lt;&gt;"Wahl")*(Deckblatt!$C$14='WK-Vorlagen'!$C$82))+(Deckblatt!$C$14&lt;&gt;'WK-Vorlagen'!$C$82),"",IF(ISERROR(MATCH(VALUE(MID(I756,1,2)),Schwierigkeitsstufen!$G$7:$G$19,0)),"Gerät falsch",LOOKUP(VALUE(MID(I756,1,2)),Schwierigkeitsstufen!$G$7:$G$19,Schwierigkeitsstufen!$H$7:$H$19)))</f>
        <v/>
      </c>
      <c r="AD756" s="251" t="str">
        <f>IF((($A756="")*($B756=""))+((MID($Y756,1,4)&lt;&gt;"Wahl")*(Deckblatt!$C$14='WK-Vorlagen'!$C$82))+(Deckblatt!$C$14&lt;&gt;'WK-Vorlagen'!$C$82),"",IF(ISERROR(MATCH(VALUE(MID(J756,1,2)),Schwierigkeitsstufen!$G$7:$G$19,0)),"Gerät falsch",LOOKUP(VALUE(MID(J756,1,2)),Schwierigkeitsstufen!$G$7:$G$19,Schwierigkeitsstufen!$H$7:$H$19)))</f>
        <v/>
      </c>
      <c r="AE756" s="211"/>
      <c r="AG756" s="221" t="str">
        <f t="shared" si="99"/>
        <v/>
      </c>
      <c r="AH756" s="222" t="str">
        <f t="shared" si="101"/>
        <v/>
      </c>
      <c r="AI756" s="220">
        <f t="shared" si="106"/>
        <v>4</v>
      </c>
      <c r="AJ756" s="222">
        <f t="shared" si="102"/>
        <v>0</v>
      </c>
      <c r="AK756" s="299" t="str">
        <f>IF(ISERROR(LOOKUP(E756,WKNrListe,Übersicht!$R$7:$R$46)),"-",LOOKUP(E756,WKNrListe,Übersicht!$R$7:$R$46))</f>
        <v>-</v>
      </c>
      <c r="AL756" s="299" t="str">
        <f t="shared" si="105"/>
        <v>-</v>
      </c>
      <c r="AM756" s="303"/>
      <c r="AN756" s="174" t="str">
        <f t="shared" si="107"/>
        <v>Leer</v>
      </c>
    </row>
    <row r="757" spans="1:40" s="174" customFormat="1" ht="15" customHeight="1">
      <c r="A757" s="63"/>
      <c r="B757" s="63"/>
      <c r="C757" s="84"/>
      <c r="D757" s="85"/>
      <c r="E757" s="62"/>
      <c r="F757" s="62"/>
      <c r="G757" s="62"/>
      <c r="H757" s="62"/>
      <c r="I757" s="62"/>
      <c r="J757" s="62"/>
      <c r="K757" s="62"/>
      <c r="L757" s="62"/>
      <c r="M757" s="62"/>
      <c r="N757" s="62"/>
      <c r="O757" s="62"/>
      <c r="P757" s="62"/>
      <c r="Q757" s="62"/>
      <c r="R757" s="62"/>
      <c r="S757" s="258"/>
      <c r="T757" s="248" t="str">
        <f t="shared" si="103"/>
        <v/>
      </c>
      <c r="U757" s="249" t="str">
        <f t="shared" si="104"/>
        <v/>
      </c>
      <c r="V757" s="294" t="str">
        <f t="shared" si="100"/>
        <v/>
      </c>
      <c r="W757" s="294" t="str">
        <f>IF(((E757="")+(F757="")),"",IF(VLOOKUP(F757,Mannschaften!$A$1:$B$54,2,FALSE)&lt;&gt;E757,"Reiter Mannschaften füllen",""))</f>
        <v/>
      </c>
      <c r="X757" s="248" t="str">
        <f>IF(ISBLANK(C757),"",IF((U757&gt;(LOOKUP(E757,WKNrListe,Übersicht!$O$7:$O$46)))+(U757&lt;(LOOKUP(E757,WKNrListe,Übersicht!$P$7:$P$46))),"JG falsch",""))</f>
        <v/>
      </c>
      <c r="Y757" s="255" t="str">
        <f>IF((A757="")*(B757=""),"",IF(ISERROR(MATCH(E757,WKNrListe,0)),"WK falsch",LOOKUP(E757,WKNrListe,Übersicht!$B$7:$B$46)))</f>
        <v/>
      </c>
      <c r="Z757" s="269" t="str">
        <f>IF(((AJ757=0)*(AH757&lt;&gt;"")*(AK757="-"))+((AJ757&lt;&gt;0)*(AH757&lt;&gt;"")*(AK757="-")),IF(AG757="X",Übersicht!$C$70,Übersicht!$C$69),"-")</f>
        <v>-</v>
      </c>
      <c r="AA757" s="252" t="str">
        <f>IF((($A757="")*($B757=""))+((MID($Y757,1,4)&lt;&gt;"Wahl")*(Deckblatt!$C$14='WK-Vorlagen'!$C$82))+(Deckblatt!$C$14&lt;&gt;'WK-Vorlagen'!$C$82),"",IF(ISERROR(MATCH(VALUE(MID(G757,1,2)),Schwierigkeitsstufen!$G$7:$G$19,0)),"Gerät falsch",LOOKUP(VALUE(MID(G757,1,2)),Schwierigkeitsstufen!$G$7:$G$19,Schwierigkeitsstufen!$H$7:$H$19)))</f>
        <v/>
      </c>
      <c r="AB757" s="250" t="str">
        <f>IF((($A757="")*($B757=""))+((MID($Y757,1,4)&lt;&gt;"Wahl")*(Deckblatt!$C$14='WK-Vorlagen'!$C$82))+(Deckblatt!$C$14&lt;&gt;'WK-Vorlagen'!$C$82),"",IF(ISERROR(MATCH(VALUE(MID(H757,1,2)),Schwierigkeitsstufen!$G$7:$G$19,0)),"Gerät falsch",LOOKUP(VALUE(MID(H757,1,2)),Schwierigkeitsstufen!$G$7:$G$19,Schwierigkeitsstufen!$H$7:$H$19)))</f>
        <v/>
      </c>
      <c r="AC757" s="250" t="str">
        <f>IF((($A757="")*($B757=""))+((MID($Y757,1,4)&lt;&gt;"Wahl")*(Deckblatt!$C$14='WK-Vorlagen'!$C$82))+(Deckblatt!$C$14&lt;&gt;'WK-Vorlagen'!$C$82),"",IF(ISERROR(MATCH(VALUE(MID(I757,1,2)),Schwierigkeitsstufen!$G$7:$G$19,0)),"Gerät falsch",LOOKUP(VALUE(MID(I757,1,2)),Schwierigkeitsstufen!$G$7:$G$19,Schwierigkeitsstufen!$H$7:$H$19)))</f>
        <v/>
      </c>
      <c r="AD757" s="251" t="str">
        <f>IF((($A757="")*($B757=""))+((MID($Y757,1,4)&lt;&gt;"Wahl")*(Deckblatt!$C$14='WK-Vorlagen'!$C$82))+(Deckblatt!$C$14&lt;&gt;'WK-Vorlagen'!$C$82),"",IF(ISERROR(MATCH(VALUE(MID(J757,1,2)),Schwierigkeitsstufen!$G$7:$G$19,0)),"Gerät falsch",LOOKUP(VALUE(MID(J757,1,2)),Schwierigkeitsstufen!$G$7:$G$19,Schwierigkeitsstufen!$H$7:$H$19)))</f>
        <v/>
      </c>
      <c r="AE757" s="211"/>
      <c r="AG757" s="221" t="str">
        <f t="shared" si="99"/>
        <v/>
      </c>
      <c r="AH757" s="222" t="str">
        <f t="shared" si="101"/>
        <v/>
      </c>
      <c r="AI757" s="220">
        <f t="shared" si="106"/>
        <v>4</v>
      </c>
      <c r="AJ757" s="222">
        <f t="shared" si="102"/>
        <v>0</v>
      </c>
      <c r="AK757" s="299" t="str">
        <f>IF(ISERROR(LOOKUP(E757,WKNrListe,Übersicht!$R$7:$R$46)),"-",LOOKUP(E757,WKNrListe,Übersicht!$R$7:$R$46))</f>
        <v>-</v>
      </c>
      <c r="AL757" s="299" t="str">
        <f t="shared" si="105"/>
        <v>-</v>
      </c>
      <c r="AM757" s="303"/>
      <c r="AN757" s="174" t="str">
        <f t="shared" si="107"/>
        <v>Leer</v>
      </c>
    </row>
    <row r="758" spans="1:40" s="174" customFormat="1" ht="15" customHeight="1">
      <c r="A758" s="63"/>
      <c r="B758" s="63"/>
      <c r="C758" s="84"/>
      <c r="D758" s="85"/>
      <c r="E758" s="62"/>
      <c r="F758" s="62"/>
      <c r="G758" s="62"/>
      <c r="H758" s="62"/>
      <c r="I758" s="62"/>
      <c r="J758" s="62"/>
      <c r="K758" s="62"/>
      <c r="L758" s="62"/>
      <c r="M758" s="62"/>
      <c r="N758" s="62"/>
      <c r="O758" s="62"/>
      <c r="P758" s="62"/>
      <c r="Q758" s="62"/>
      <c r="R758" s="62"/>
      <c r="S758" s="258"/>
      <c r="T758" s="248" t="str">
        <f t="shared" si="103"/>
        <v/>
      </c>
      <c r="U758" s="249" t="str">
        <f t="shared" si="104"/>
        <v/>
      </c>
      <c r="V758" s="294" t="str">
        <f t="shared" si="100"/>
        <v/>
      </c>
      <c r="W758" s="294" t="str">
        <f>IF(((E758="")+(F758="")),"",IF(VLOOKUP(F758,Mannschaften!$A$1:$B$54,2,FALSE)&lt;&gt;E758,"Reiter Mannschaften füllen",""))</f>
        <v/>
      </c>
      <c r="X758" s="248" t="str">
        <f>IF(ISBLANK(C758),"",IF((U758&gt;(LOOKUP(E758,WKNrListe,Übersicht!$O$7:$O$46)))+(U758&lt;(LOOKUP(E758,WKNrListe,Übersicht!$P$7:$P$46))),"JG falsch",""))</f>
        <v/>
      </c>
      <c r="Y758" s="255" t="str">
        <f>IF((A758="")*(B758=""),"",IF(ISERROR(MATCH(E758,WKNrListe,0)),"WK falsch",LOOKUP(E758,WKNrListe,Übersicht!$B$7:$B$46)))</f>
        <v/>
      </c>
      <c r="Z758" s="269" t="str">
        <f>IF(((AJ758=0)*(AH758&lt;&gt;"")*(AK758="-"))+((AJ758&lt;&gt;0)*(AH758&lt;&gt;"")*(AK758="-")),IF(AG758="X",Übersicht!$C$70,Übersicht!$C$69),"-")</f>
        <v>-</v>
      </c>
      <c r="AA758" s="252" t="str">
        <f>IF((($A758="")*($B758=""))+((MID($Y758,1,4)&lt;&gt;"Wahl")*(Deckblatt!$C$14='WK-Vorlagen'!$C$82))+(Deckblatt!$C$14&lt;&gt;'WK-Vorlagen'!$C$82),"",IF(ISERROR(MATCH(VALUE(MID(G758,1,2)),Schwierigkeitsstufen!$G$7:$G$19,0)),"Gerät falsch",LOOKUP(VALUE(MID(G758,1,2)),Schwierigkeitsstufen!$G$7:$G$19,Schwierigkeitsstufen!$H$7:$H$19)))</f>
        <v/>
      </c>
      <c r="AB758" s="250" t="str">
        <f>IF((($A758="")*($B758=""))+((MID($Y758,1,4)&lt;&gt;"Wahl")*(Deckblatt!$C$14='WK-Vorlagen'!$C$82))+(Deckblatt!$C$14&lt;&gt;'WK-Vorlagen'!$C$82),"",IF(ISERROR(MATCH(VALUE(MID(H758,1,2)),Schwierigkeitsstufen!$G$7:$G$19,0)),"Gerät falsch",LOOKUP(VALUE(MID(H758,1,2)),Schwierigkeitsstufen!$G$7:$G$19,Schwierigkeitsstufen!$H$7:$H$19)))</f>
        <v/>
      </c>
      <c r="AC758" s="250" t="str">
        <f>IF((($A758="")*($B758=""))+((MID($Y758,1,4)&lt;&gt;"Wahl")*(Deckblatt!$C$14='WK-Vorlagen'!$C$82))+(Deckblatt!$C$14&lt;&gt;'WK-Vorlagen'!$C$82),"",IF(ISERROR(MATCH(VALUE(MID(I758,1,2)),Schwierigkeitsstufen!$G$7:$G$19,0)),"Gerät falsch",LOOKUP(VALUE(MID(I758,1,2)),Schwierigkeitsstufen!$G$7:$G$19,Schwierigkeitsstufen!$H$7:$H$19)))</f>
        <v/>
      </c>
      <c r="AD758" s="251" t="str">
        <f>IF((($A758="")*($B758=""))+((MID($Y758,1,4)&lt;&gt;"Wahl")*(Deckblatt!$C$14='WK-Vorlagen'!$C$82))+(Deckblatt!$C$14&lt;&gt;'WK-Vorlagen'!$C$82),"",IF(ISERROR(MATCH(VALUE(MID(J758,1,2)),Schwierigkeitsstufen!$G$7:$G$19,0)),"Gerät falsch",LOOKUP(VALUE(MID(J758,1,2)),Schwierigkeitsstufen!$G$7:$G$19,Schwierigkeitsstufen!$H$7:$H$19)))</f>
        <v/>
      </c>
      <c r="AE758" s="211"/>
      <c r="AG758" s="221" t="str">
        <f t="shared" si="99"/>
        <v/>
      </c>
      <c r="AH758" s="222" t="str">
        <f t="shared" si="101"/>
        <v/>
      </c>
      <c r="AI758" s="220">
        <f t="shared" si="106"/>
        <v>4</v>
      </c>
      <c r="AJ758" s="222">
        <f t="shared" si="102"/>
        <v>0</v>
      </c>
      <c r="AK758" s="299" t="str">
        <f>IF(ISERROR(LOOKUP(E758,WKNrListe,Übersicht!$R$7:$R$46)),"-",LOOKUP(E758,WKNrListe,Übersicht!$R$7:$R$46))</f>
        <v>-</v>
      </c>
      <c r="AL758" s="299" t="str">
        <f t="shared" si="105"/>
        <v>-</v>
      </c>
      <c r="AM758" s="303"/>
      <c r="AN758" s="174" t="str">
        <f t="shared" si="107"/>
        <v>Leer</v>
      </c>
    </row>
    <row r="759" spans="1:40" s="174" customFormat="1" ht="15" customHeight="1">
      <c r="A759" s="63"/>
      <c r="B759" s="63"/>
      <c r="C759" s="84"/>
      <c r="D759" s="85"/>
      <c r="E759" s="62"/>
      <c r="F759" s="62"/>
      <c r="G759" s="62"/>
      <c r="H759" s="62"/>
      <c r="I759" s="62"/>
      <c r="J759" s="62"/>
      <c r="K759" s="62"/>
      <c r="L759" s="62"/>
      <c r="M759" s="62"/>
      <c r="N759" s="62"/>
      <c r="O759" s="62"/>
      <c r="P759" s="62"/>
      <c r="Q759" s="62"/>
      <c r="R759" s="62"/>
      <c r="S759" s="258"/>
      <c r="T759" s="248" t="str">
        <f t="shared" si="103"/>
        <v/>
      </c>
      <c r="U759" s="249" t="str">
        <f t="shared" si="104"/>
        <v/>
      </c>
      <c r="V759" s="294" t="str">
        <f t="shared" si="100"/>
        <v/>
      </c>
      <c r="W759" s="294" t="str">
        <f>IF(((E759="")+(F759="")),"",IF(VLOOKUP(F759,Mannschaften!$A$1:$B$54,2,FALSE)&lt;&gt;E759,"Reiter Mannschaften füllen",""))</f>
        <v/>
      </c>
      <c r="X759" s="248" t="str">
        <f>IF(ISBLANK(C759),"",IF((U759&gt;(LOOKUP(E759,WKNrListe,Übersicht!$O$7:$O$46)))+(U759&lt;(LOOKUP(E759,WKNrListe,Übersicht!$P$7:$P$46))),"JG falsch",""))</f>
        <v/>
      </c>
      <c r="Y759" s="255" t="str">
        <f>IF((A759="")*(B759=""),"",IF(ISERROR(MATCH(E759,WKNrListe,0)),"WK falsch",LOOKUP(E759,WKNrListe,Übersicht!$B$7:$B$46)))</f>
        <v/>
      </c>
      <c r="Z759" s="269" t="str">
        <f>IF(((AJ759=0)*(AH759&lt;&gt;"")*(AK759="-"))+((AJ759&lt;&gt;0)*(AH759&lt;&gt;"")*(AK759="-")),IF(AG759="X",Übersicht!$C$70,Übersicht!$C$69),"-")</f>
        <v>-</v>
      </c>
      <c r="AA759" s="252" t="str">
        <f>IF((($A759="")*($B759=""))+((MID($Y759,1,4)&lt;&gt;"Wahl")*(Deckblatt!$C$14='WK-Vorlagen'!$C$82))+(Deckblatt!$C$14&lt;&gt;'WK-Vorlagen'!$C$82),"",IF(ISERROR(MATCH(VALUE(MID(G759,1,2)),Schwierigkeitsstufen!$G$7:$G$19,0)),"Gerät falsch",LOOKUP(VALUE(MID(G759,1,2)),Schwierigkeitsstufen!$G$7:$G$19,Schwierigkeitsstufen!$H$7:$H$19)))</f>
        <v/>
      </c>
      <c r="AB759" s="250" t="str">
        <f>IF((($A759="")*($B759=""))+((MID($Y759,1,4)&lt;&gt;"Wahl")*(Deckblatt!$C$14='WK-Vorlagen'!$C$82))+(Deckblatt!$C$14&lt;&gt;'WK-Vorlagen'!$C$82),"",IF(ISERROR(MATCH(VALUE(MID(H759,1,2)),Schwierigkeitsstufen!$G$7:$G$19,0)),"Gerät falsch",LOOKUP(VALUE(MID(H759,1,2)),Schwierigkeitsstufen!$G$7:$G$19,Schwierigkeitsstufen!$H$7:$H$19)))</f>
        <v/>
      </c>
      <c r="AC759" s="250" t="str">
        <f>IF((($A759="")*($B759=""))+((MID($Y759,1,4)&lt;&gt;"Wahl")*(Deckblatt!$C$14='WK-Vorlagen'!$C$82))+(Deckblatt!$C$14&lt;&gt;'WK-Vorlagen'!$C$82),"",IF(ISERROR(MATCH(VALUE(MID(I759,1,2)),Schwierigkeitsstufen!$G$7:$G$19,0)),"Gerät falsch",LOOKUP(VALUE(MID(I759,1,2)),Schwierigkeitsstufen!$G$7:$G$19,Schwierigkeitsstufen!$H$7:$H$19)))</f>
        <v/>
      </c>
      <c r="AD759" s="251" t="str">
        <f>IF((($A759="")*($B759=""))+((MID($Y759,1,4)&lt;&gt;"Wahl")*(Deckblatt!$C$14='WK-Vorlagen'!$C$82))+(Deckblatt!$C$14&lt;&gt;'WK-Vorlagen'!$C$82),"",IF(ISERROR(MATCH(VALUE(MID(J759,1,2)),Schwierigkeitsstufen!$G$7:$G$19,0)),"Gerät falsch",LOOKUP(VALUE(MID(J759,1,2)),Schwierigkeitsstufen!$G$7:$G$19,Schwierigkeitsstufen!$H$7:$H$19)))</f>
        <v/>
      </c>
      <c r="AE759" s="211"/>
      <c r="AG759" s="221" t="str">
        <f t="shared" si="99"/>
        <v/>
      </c>
      <c r="AH759" s="222" t="str">
        <f t="shared" si="101"/>
        <v/>
      </c>
      <c r="AI759" s="220">
        <f t="shared" si="106"/>
        <v>4</v>
      </c>
      <c r="AJ759" s="222">
        <f t="shared" si="102"/>
        <v>0</v>
      </c>
      <c r="AK759" s="299" t="str">
        <f>IF(ISERROR(LOOKUP(E759,WKNrListe,Übersicht!$R$7:$R$46)),"-",LOOKUP(E759,WKNrListe,Übersicht!$R$7:$R$46))</f>
        <v>-</v>
      </c>
      <c r="AL759" s="299" t="str">
        <f t="shared" si="105"/>
        <v>-</v>
      </c>
      <c r="AM759" s="303"/>
      <c r="AN759" s="174" t="str">
        <f t="shared" si="107"/>
        <v>Leer</v>
      </c>
    </row>
    <row r="760" spans="1:40" s="174" customFormat="1" ht="15" customHeight="1">
      <c r="A760" s="63"/>
      <c r="B760" s="63"/>
      <c r="C760" s="84"/>
      <c r="D760" s="85"/>
      <c r="E760" s="62"/>
      <c r="F760" s="62"/>
      <c r="G760" s="62"/>
      <c r="H760" s="62"/>
      <c r="I760" s="62"/>
      <c r="J760" s="62"/>
      <c r="K760" s="62"/>
      <c r="L760" s="62"/>
      <c r="M760" s="62"/>
      <c r="N760" s="62"/>
      <c r="O760" s="62"/>
      <c r="P760" s="62"/>
      <c r="Q760" s="62"/>
      <c r="R760" s="62"/>
      <c r="S760" s="258"/>
      <c r="T760" s="248" t="str">
        <f t="shared" si="103"/>
        <v/>
      </c>
      <c r="U760" s="249" t="str">
        <f t="shared" si="104"/>
        <v/>
      </c>
      <c r="V760" s="294" t="str">
        <f t="shared" si="100"/>
        <v/>
      </c>
      <c r="W760" s="294" t="str">
        <f>IF(((E760="")+(F760="")),"",IF(VLOOKUP(F760,Mannschaften!$A$1:$B$54,2,FALSE)&lt;&gt;E760,"Reiter Mannschaften füllen",""))</f>
        <v/>
      </c>
      <c r="X760" s="248" t="str">
        <f>IF(ISBLANK(C760),"",IF((U760&gt;(LOOKUP(E760,WKNrListe,Übersicht!$O$7:$O$46)))+(U760&lt;(LOOKUP(E760,WKNrListe,Übersicht!$P$7:$P$46))),"JG falsch",""))</f>
        <v/>
      </c>
      <c r="Y760" s="255" t="str">
        <f>IF((A760="")*(B760=""),"",IF(ISERROR(MATCH(E760,WKNrListe,0)),"WK falsch",LOOKUP(E760,WKNrListe,Übersicht!$B$7:$B$46)))</f>
        <v/>
      </c>
      <c r="Z760" s="269" t="str">
        <f>IF(((AJ760=0)*(AH760&lt;&gt;"")*(AK760="-"))+((AJ760&lt;&gt;0)*(AH760&lt;&gt;"")*(AK760="-")),IF(AG760="X",Übersicht!$C$70,Übersicht!$C$69),"-")</f>
        <v>-</v>
      </c>
      <c r="AA760" s="252" t="str">
        <f>IF((($A760="")*($B760=""))+((MID($Y760,1,4)&lt;&gt;"Wahl")*(Deckblatt!$C$14='WK-Vorlagen'!$C$82))+(Deckblatt!$C$14&lt;&gt;'WK-Vorlagen'!$C$82),"",IF(ISERROR(MATCH(VALUE(MID(G760,1,2)),Schwierigkeitsstufen!$G$7:$G$19,0)),"Gerät falsch",LOOKUP(VALUE(MID(G760,1,2)),Schwierigkeitsstufen!$G$7:$G$19,Schwierigkeitsstufen!$H$7:$H$19)))</f>
        <v/>
      </c>
      <c r="AB760" s="250" t="str">
        <f>IF((($A760="")*($B760=""))+((MID($Y760,1,4)&lt;&gt;"Wahl")*(Deckblatt!$C$14='WK-Vorlagen'!$C$82))+(Deckblatt!$C$14&lt;&gt;'WK-Vorlagen'!$C$82),"",IF(ISERROR(MATCH(VALUE(MID(H760,1,2)),Schwierigkeitsstufen!$G$7:$G$19,0)),"Gerät falsch",LOOKUP(VALUE(MID(H760,1,2)),Schwierigkeitsstufen!$G$7:$G$19,Schwierigkeitsstufen!$H$7:$H$19)))</f>
        <v/>
      </c>
      <c r="AC760" s="250" t="str">
        <f>IF((($A760="")*($B760=""))+((MID($Y760,1,4)&lt;&gt;"Wahl")*(Deckblatt!$C$14='WK-Vorlagen'!$C$82))+(Deckblatt!$C$14&lt;&gt;'WK-Vorlagen'!$C$82),"",IF(ISERROR(MATCH(VALUE(MID(I760,1,2)),Schwierigkeitsstufen!$G$7:$G$19,0)),"Gerät falsch",LOOKUP(VALUE(MID(I760,1,2)),Schwierigkeitsstufen!$G$7:$G$19,Schwierigkeitsstufen!$H$7:$H$19)))</f>
        <v/>
      </c>
      <c r="AD760" s="251" t="str">
        <f>IF((($A760="")*($B760=""))+((MID($Y760,1,4)&lt;&gt;"Wahl")*(Deckblatt!$C$14='WK-Vorlagen'!$C$82))+(Deckblatt!$C$14&lt;&gt;'WK-Vorlagen'!$C$82),"",IF(ISERROR(MATCH(VALUE(MID(J760,1,2)),Schwierigkeitsstufen!$G$7:$G$19,0)),"Gerät falsch",LOOKUP(VALUE(MID(J760,1,2)),Schwierigkeitsstufen!$G$7:$G$19,Schwierigkeitsstufen!$H$7:$H$19)))</f>
        <v/>
      </c>
      <c r="AE760" s="211"/>
      <c r="AG760" s="221" t="str">
        <f t="shared" si="99"/>
        <v/>
      </c>
      <c r="AH760" s="222" t="str">
        <f t="shared" si="101"/>
        <v/>
      </c>
      <c r="AI760" s="220">
        <f t="shared" si="106"/>
        <v>4</v>
      </c>
      <c r="AJ760" s="222">
        <f t="shared" si="102"/>
        <v>0</v>
      </c>
      <c r="AK760" s="299" t="str">
        <f>IF(ISERROR(LOOKUP(E760,WKNrListe,Übersicht!$R$7:$R$46)),"-",LOOKUP(E760,WKNrListe,Übersicht!$R$7:$R$46))</f>
        <v>-</v>
      </c>
      <c r="AL760" s="299" t="str">
        <f t="shared" si="105"/>
        <v>-</v>
      </c>
      <c r="AM760" s="303"/>
      <c r="AN760" s="174" t="str">
        <f t="shared" si="107"/>
        <v>Leer</v>
      </c>
    </row>
    <row r="761" spans="1:40" s="174" customFormat="1" ht="15" customHeight="1">
      <c r="A761" s="63"/>
      <c r="B761" s="63"/>
      <c r="C761" s="84"/>
      <c r="D761" s="85"/>
      <c r="E761" s="62"/>
      <c r="F761" s="62"/>
      <c r="G761" s="62"/>
      <c r="H761" s="62"/>
      <c r="I761" s="62"/>
      <c r="J761" s="62"/>
      <c r="K761" s="62"/>
      <c r="L761" s="62"/>
      <c r="M761" s="62"/>
      <c r="N761" s="62"/>
      <c r="O761" s="62"/>
      <c r="P761" s="62"/>
      <c r="Q761" s="62"/>
      <c r="R761" s="62"/>
      <c r="S761" s="258"/>
      <c r="T761" s="248" t="str">
        <f t="shared" si="103"/>
        <v/>
      </c>
      <c r="U761" s="249" t="str">
        <f t="shared" si="104"/>
        <v/>
      </c>
      <c r="V761" s="294" t="str">
        <f t="shared" si="100"/>
        <v/>
      </c>
      <c r="W761" s="294" t="str">
        <f>IF(((E761="")+(F761="")),"",IF(VLOOKUP(F761,Mannschaften!$A$1:$B$54,2,FALSE)&lt;&gt;E761,"Reiter Mannschaften füllen",""))</f>
        <v/>
      </c>
      <c r="X761" s="248" t="str">
        <f>IF(ISBLANK(C761),"",IF((U761&gt;(LOOKUP(E761,WKNrListe,Übersicht!$O$7:$O$46)))+(U761&lt;(LOOKUP(E761,WKNrListe,Übersicht!$P$7:$P$46))),"JG falsch",""))</f>
        <v/>
      </c>
      <c r="Y761" s="255" t="str">
        <f>IF((A761="")*(B761=""),"",IF(ISERROR(MATCH(E761,WKNrListe,0)),"WK falsch",LOOKUP(E761,WKNrListe,Übersicht!$B$7:$B$46)))</f>
        <v/>
      </c>
      <c r="Z761" s="269" t="str">
        <f>IF(((AJ761=0)*(AH761&lt;&gt;"")*(AK761="-"))+((AJ761&lt;&gt;0)*(AH761&lt;&gt;"")*(AK761="-")),IF(AG761="X",Übersicht!$C$70,Übersicht!$C$69),"-")</f>
        <v>-</v>
      </c>
      <c r="AA761" s="252" t="str">
        <f>IF((($A761="")*($B761=""))+((MID($Y761,1,4)&lt;&gt;"Wahl")*(Deckblatt!$C$14='WK-Vorlagen'!$C$82))+(Deckblatt!$C$14&lt;&gt;'WK-Vorlagen'!$C$82),"",IF(ISERROR(MATCH(VALUE(MID(G761,1,2)),Schwierigkeitsstufen!$G$7:$G$19,0)),"Gerät falsch",LOOKUP(VALUE(MID(G761,1,2)),Schwierigkeitsstufen!$G$7:$G$19,Schwierigkeitsstufen!$H$7:$H$19)))</f>
        <v/>
      </c>
      <c r="AB761" s="250" t="str">
        <f>IF((($A761="")*($B761=""))+((MID($Y761,1,4)&lt;&gt;"Wahl")*(Deckblatt!$C$14='WK-Vorlagen'!$C$82))+(Deckblatt!$C$14&lt;&gt;'WK-Vorlagen'!$C$82),"",IF(ISERROR(MATCH(VALUE(MID(H761,1,2)),Schwierigkeitsstufen!$G$7:$G$19,0)),"Gerät falsch",LOOKUP(VALUE(MID(H761,1,2)),Schwierigkeitsstufen!$G$7:$G$19,Schwierigkeitsstufen!$H$7:$H$19)))</f>
        <v/>
      </c>
      <c r="AC761" s="250" t="str">
        <f>IF((($A761="")*($B761=""))+((MID($Y761,1,4)&lt;&gt;"Wahl")*(Deckblatt!$C$14='WK-Vorlagen'!$C$82))+(Deckblatt!$C$14&lt;&gt;'WK-Vorlagen'!$C$82),"",IF(ISERROR(MATCH(VALUE(MID(I761,1,2)),Schwierigkeitsstufen!$G$7:$G$19,0)),"Gerät falsch",LOOKUP(VALUE(MID(I761,1,2)),Schwierigkeitsstufen!$G$7:$G$19,Schwierigkeitsstufen!$H$7:$H$19)))</f>
        <v/>
      </c>
      <c r="AD761" s="251" t="str">
        <f>IF((($A761="")*($B761=""))+((MID($Y761,1,4)&lt;&gt;"Wahl")*(Deckblatt!$C$14='WK-Vorlagen'!$C$82))+(Deckblatt!$C$14&lt;&gt;'WK-Vorlagen'!$C$82),"",IF(ISERROR(MATCH(VALUE(MID(J761,1,2)),Schwierigkeitsstufen!$G$7:$G$19,0)),"Gerät falsch",LOOKUP(VALUE(MID(J761,1,2)),Schwierigkeitsstufen!$G$7:$G$19,Schwierigkeitsstufen!$H$7:$H$19)))</f>
        <v/>
      </c>
      <c r="AE761" s="211"/>
      <c r="AG761" s="221" t="str">
        <f t="shared" si="99"/>
        <v/>
      </c>
      <c r="AH761" s="222" t="str">
        <f t="shared" si="101"/>
        <v/>
      </c>
      <c r="AI761" s="220">
        <f t="shared" si="106"/>
        <v>4</v>
      </c>
      <c r="AJ761" s="222">
        <f t="shared" si="102"/>
        <v>0</v>
      </c>
      <c r="AK761" s="299" t="str">
        <f>IF(ISERROR(LOOKUP(E761,WKNrListe,Übersicht!$R$7:$R$46)),"-",LOOKUP(E761,WKNrListe,Übersicht!$R$7:$R$46))</f>
        <v>-</v>
      </c>
      <c r="AL761" s="299" t="str">
        <f t="shared" si="105"/>
        <v>-</v>
      </c>
      <c r="AM761" s="303"/>
      <c r="AN761" s="174" t="str">
        <f t="shared" si="107"/>
        <v>Leer</v>
      </c>
    </row>
    <row r="762" spans="1:40" s="174" customFormat="1" ht="15" customHeight="1">
      <c r="A762" s="63"/>
      <c r="B762" s="63"/>
      <c r="C762" s="84"/>
      <c r="D762" s="85"/>
      <c r="E762" s="62"/>
      <c r="F762" s="62"/>
      <c r="G762" s="62"/>
      <c r="H762" s="62"/>
      <c r="I762" s="62"/>
      <c r="J762" s="62"/>
      <c r="K762" s="62"/>
      <c r="L762" s="62"/>
      <c r="M762" s="62"/>
      <c r="N762" s="62"/>
      <c r="O762" s="62"/>
      <c r="P762" s="62"/>
      <c r="Q762" s="62"/>
      <c r="R762" s="62"/>
      <c r="S762" s="258"/>
      <c r="T762" s="248" t="str">
        <f t="shared" si="103"/>
        <v/>
      </c>
      <c r="U762" s="249" t="str">
        <f t="shared" si="104"/>
        <v/>
      </c>
      <c r="V762" s="294" t="str">
        <f t="shared" si="100"/>
        <v/>
      </c>
      <c r="W762" s="294" t="str">
        <f>IF(((E762="")+(F762="")),"",IF(VLOOKUP(F762,Mannschaften!$A$1:$B$54,2,FALSE)&lt;&gt;E762,"Reiter Mannschaften füllen",""))</f>
        <v/>
      </c>
      <c r="X762" s="248" t="str">
        <f>IF(ISBLANK(C762),"",IF((U762&gt;(LOOKUP(E762,WKNrListe,Übersicht!$O$7:$O$46)))+(U762&lt;(LOOKUP(E762,WKNrListe,Übersicht!$P$7:$P$46))),"JG falsch",""))</f>
        <v/>
      </c>
      <c r="Y762" s="255" t="str">
        <f>IF((A762="")*(B762=""),"",IF(ISERROR(MATCH(E762,WKNrListe,0)),"WK falsch",LOOKUP(E762,WKNrListe,Übersicht!$B$7:$B$46)))</f>
        <v/>
      </c>
      <c r="Z762" s="269" t="str">
        <f>IF(((AJ762=0)*(AH762&lt;&gt;"")*(AK762="-"))+((AJ762&lt;&gt;0)*(AH762&lt;&gt;"")*(AK762="-")),IF(AG762="X",Übersicht!$C$70,Übersicht!$C$69),"-")</f>
        <v>-</v>
      </c>
      <c r="AA762" s="252" t="str">
        <f>IF((($A762="")*($B762=""))+((MID($Y762,1,4)&lt;&gt;"Wahl")*(Deckblatt!$C$14='WK-Vorlagen'!$C$82))+(Deckblatt!$C$14&lt;&gt;'WK-Vorlagen'!$C$82),"",IF(ISERROR(MATCH(VALUE(MID(G762,1,2)),Schwierigkeitsstufen!$G$7:$G$19,0)),"Gerät falsch",LOOKUP(VALUE(MID(G762,1,2)),Schwierigkeitsstufen!$G$7:$G$19,Schwierigkeitsstufen!$H$7:$H$19)))</f>
        <v/>
      </c>
      <c r="AB762" s="250" t="str">
        <f>IF((($A762="")*($B762=""))+((MID($Y762,1,4)&lt;&gt;"Wahl")*(Deckblatt!$C$14='WK-Vorlagen'!$C$82))+(Deckblatt!$C$14&lt;&gt;'WK-Vorlagen'!$C$82),"",IF(ISERROR(MATCH(VALUE(MID(H762,1,2)),Schwierigkeitsstufen!$G$7:$G$19,0)),"Gerät falsch",LOOKUP(VALUE(MID(H762,1,2)),Schwierigkeitsstufen!$G$7:$G$19,Schwierigkeitsstufen!$H$7:$H$19)))</f>
        <v/>
      </c>
      <c r="AC762" s="250" t="str">
        <f>IF((($A762="")*($B762=""))+((MID($Y762,1,4)&lt;&gt;"Wahl")*(Deckblatt!$C$14='WK-Vorlagen'!$C$82))+(Deckblatt!$C$14&lt;&gt;'WK-Vorlagen'!$C$82),"",IF(ISERROR(MATCH(VALUE(MID(I762,1,2)),Schwierigkeitsstufen!$G$7:$G$19,0)),"Gerät falsch",LOOKUP(VALUE(MID(I762,1,2)),Schwierigkeitsstufen!$G$7:$G$19,Schwierigkeitsstufen!$H$7:$H$19)))</f>
        <v/>
      </c>
      <c r="AD762" s="251" t="str">
        <f>IF((($A762="")*($B762=""))+((MID($Y762,1,4)&lt;&gt;"Wahl")*(Deckblatt!$C$14='WK-Vorlagen'!$C$82))+(Deckblatt!$C$14&lt;&gt;'WK-Vorlagen'!$C$82),"",IF(ISERROR(MATCH(VALUE(MID(J762,1,2)),Schwierigkeitsstufen!$G$7:$G$19,0)),"Gerät falsch",LOOKUP(VALUE(MID(J762,1,2)),Schwierigkeitsstufen!$G$7:$G$19,Schwierigkeitsstufen!$H$7:$H$19)))</f>
        <v/>
      </c>
      <c r="AE762" s="211"/>
      <c r="AG762" s="221" t="str">
        <f t="shared" si="99"/>
        <v/>
      </c>
      <c r="AH762" s="222" t="str">
        <f t="shared" si="101"/>
        <v/>
      </c>
      <c r="AI762" s="220">
        <f t="shared" si="106"/>
        <v>4</v>
      </c>
      <c r="AJ762" s="222">
        <f t="shared" si="102"/>
        <v>0</v>
      </c>
      <c r="AK762" s="299" t="str">
        <f>IF(ISERROR(LOOKUP(E762,WKNrListe,Übersicht!$R$7:$R$46)),"-",LOOKUP(E762,WKNrListe,Übersicht!$R$7:$R$46))</f>
        <v>-</v>
      </c>
      <c r="AL762" s="299" t="str">
        <f t="shared" si="105"/>
        <v>-</v>
      </c>
      <c r="AM762" s="303"/>
      <c r="AN762" s="174" t="str">
        <f t="shared" si="107"/>
        <v>Leer</v>
      </c>
    </row>
    <row r="763" spans="1:40" s="174" customFormat="1" ht="15" customHeight="1">
      <c r="A763" s="63"/>
      <c r="B763" s="63"/>
      <c r="C763" s="84"/>
      <c r="D763" s="85"/>
      <c r="E763" s="62"/>
      <c r="F763" s="62"/>
      <c r="G763" s="62"/>
      <c r="H763" s="62"/>
      <c r="I763" s="62"/>
      <c r="J763" s="62"/>
      <c r="K763" s="62"/>
      <c r="L763" s="62"/>
      <c r="M763" s="62"/>
      <c r="N763" s="62"/>
      <c r="O763" s="62"/>
      <c r="P763" s="62"/>
      <c r="Q763" s="62"/>
      <c r="R763" s="62"/>
      <c r="S763" s="258"/>
      <c r="T763" s="248" t="str">
        <f t="shared" si="103"/>
        <v/>
      </c>
      <c r="U763" s="249" t="str">
        <f t="shared" si="104"/>
        <v/>
      </c>
      <c r="V763" s="294" t="str">
        <f t="shared" si="100"/>
        <v/>
      </c>
      <c r="W763" s="294" t="str">
        <f>IF(((E763="")+(F763="")),"",IF(VLOOKUP(F763,Mannschaften!$A$1:$B$54,2,FALSE)&lt;&gt;E763,"Reiter Mannschaften füllen",""))</f>
        <v/>
      </c>
      <c r="X763" s="248" t="str">
        <f>IF(ISBLANK(C763),"",IF((U763&gt;(LOOKUP(E763,WKNrListe,Übersicht!$O$7:$O$46)))+(U763&lt;(LOOKUP(E763,WKNrListe,Übersicht!$P$7:$P$46))),"JG falsch",""))</f>
        <v/>
      </c>
      <c r="Y763" s="255" t="str">
        <f>IF((A763="")*(B763=""),"",IF(ISERROR(MATCH(E763,WKNrListe,0)),"WK falsch",LOOKUP(E763,WKNrListe,Übersicht!$B$7:$B$46)))</f>
        <v/>
      </c>
      <c r="Z763" s="269" t="str">
        <f>IF(((AJ763=0)*(AH763&lt;&gt;"")*(AK763="-"))+((AJ763&lt;&gt;0)*(AH763&lt;&gt;"")*(AK763="-")),IF(AG763="X",Übersicht!$C$70,Übersicht!$C$69),"-")</f>
        <v>-</v>
      </c>
      <c r="AA763" s="252" t="str">
        <f>IF((($A763="")*($B763=""))+((MID($Y763,1,4)&lt;&gt;"Wahl")*(Deckblatt!$C$14='WK-Vorlagen'!$C$82))+(Deckblatt!$C$14&lt;&gt;'WK-Vorlagen'!$C$82),"",IF(ISERROR(MATCH(VALUE(MID(G763,1,2)),Schwierigkeitsstufen!$G$7:$G$19,0)),"Gerät falsch",LOOKUP(VALUE(MID(G763,1,2)),Schwierigkeitsstufen!$G$7:$G$19,Schwierigkeitsstufen!$H$7:$H$19)))</f>
        <v/>
      </c>
      <c r="AB763" s="250" t="str">
        <f>IF((($A763="")*($B763=""))+((MID($Y763,1,4)&lt;&gt;"Wahl")*(Deckblatt!$C$14='WK-Vorlagen'!$C$82))+(Deckblatt!$C$14&lt;&gt;'WK-Vorlagen'!$C$82),"",IF(ISERROR(MATCH(VALUE(MID(H763,1,2)),Schwierigkeitsstufen!$G$7:$G$19,0)),"Gerät falsch",LOOKUP(VALUE(MID(H763,1,2)),Schwierigkeitsstufen!$G$7:$G$19,Schwierigkeitsstufen!$H$7:$H$19)))</f>
        <v/>
      </c>
      <c r="AC763" s="250" t="str">
        <f>IF((($A763="")*($B763=""))+((MID($Y763,1,4)&lt;&gt;"Wahl")*(Deckblatt!$C$14='WK-Vorlagen'!$C$82))+(Deckblatt!$C$14&lt;&gt;'WK-Vorlagen'!$C$82),"",IF(ISERROR(MATCH(VALUE(MID(I763,1,2)),Schwierigkeitsstufen!$G$7:$G$19,0)),"Gerät falsch",LOOKUP(VALUE(MID(I763,1,2)),Schwierigkeitsstufen!$G$7:$G$19,Schwierigkeitsstufen!$H$7:$H$19)))</f>
        <v/>
      </c>
      <c r="AD763" s="251" t="str">
        <f>IF((($A763="")*($B763=""))+((MID($Y763,1,4)&lt;&gt;"Wahl")*(Deckblatt!$C$14='WK-Vorlagen'!$C$82))+(Deckblatt!$C$14&lt;&gt;'WK-Vorlagen'!$C$82),"",IF(ISERROR(MATCH(VALUE(MID(J763,1,2)),Schwierigkeitsstufen!$G$7:$G$19,0)),"Gerät falsch",LOOKUP(VALUE(MID(J763,1,2)),Schwierigkeitsstufen!$G$7:$G$19,Schwierigkeitsstufen!$H$7:$H$19)))</f>
        <v/>
      </c>
      <c r="AE763" s="211"/>
      <c r="AG763" s="221" t="str">
        <f t="shared" si="99"/>
        <v/>
      </c>
      <c r="AH763" s="222" t="str">
        <f t="shared" si="101"/>
        <v/>
      </c>
      <c r="AI763" s="220">
        <f t="shared" si="106"/>
        <v>4</v>
      </c>
      <c r="AJ763" s="222">
        <f t="shared" si="102"/>
        <v>0</v>
      </c>
      <c r="AK763" s="299" t="str">
        <f>IF(ISERROR(LOOKUP(E763,WKNrListe,Übersicht!$R$7:$R$46)),"-",LOOKUP(E763,WKNrListe,Übersicht!$R$7:$R$46))</f>
        <v>-</v>
      </c>
      <c r="AL763" s="299" t="str">
        <f t="shared" si="105"/>
        <v>-</v>
      </c>
      <c r="AM763" s="303"/>
      <c r="AN763" s="174" t="str">
        <f t="shared" si="107"/>
        <v>Leer</v>
      </c>
    </row>
    <row r="764" spans="1:40" s="174" customFormat="1" ht="15" customHeight="1">
      <c r="A764" s="63"/>
      <c r="B764" s="63"/>
      <c r="C764" s="84"/>
      <c r="D764" s="85"/>
      <c r="E764" s="62"/>
      <c r="F764" s="62"/>
      <c r="G764" s="62"/>
      <c r="H764" s="62"/>
      <c r="I764" s="62"/>
      <c r="J764" s="62"/>
      <c r="K764" s="62"/>
      <c r="L764" s="62"/>
      <c r="M764" s="62"/>
      <c r="N764" s="62"/>
      <c r="O764" s="62"/>
      <c r="P764" s="62"/>
      <c r="Q764" s="62"/>
      <c r="R764" s="62"/>
      <c r="S764" s="258"/>
      <c r="T764" s="248" t="str">
        <f t="shared" si="103"/>
        <v/>
      </c>
      <c r="U764" s="249" t="str">
        <f t="shared" si="104"/>
        <v/>
      </c>
      <c r="V764" s="294" t="str">
        <f t="shared" si="100"/>
        <v/>
      </c>
      <c r="W764" s="294" t="str">
        <f>IF(((E764="")+(F764="")),"",IF(VLOOKUP(F764,Mannschaften!$A$1:$B$54,2,FALSE)&lt;&gt;E764,"Reiter Mannschaften füllen",""))</f>
        <v/>
      </c>
      <c r="X764" s="248" t="str">
        <f>IF(ISBLANK(C764),"",IF((U764&gt;(LOOKUP(E764,WKNrListe,Übersicht!$O$7:$O$46)))+(U764&lt;(LOOKUP(E764,WKNrListe,Übersicht!$P$7:$P$46))),"JG falsch",""))</f>
        <v/>
      </c>
      <c r="Y764" s="255" t="str">
        <f>IF((A764="")*(B764=""),"",IF(ISERROR(MATCH(E764,WKNrListe,0)),"WK falsch",LOOKUP(E764,WKNrListe,Übersicht!$B$7:$B$46)))</f>
        <v/>
      </c>
      <c r="Z764" s="269" t="str">
        <f>IF(((AJ764=0)*(AH764&lt;&gt;"")*(AK764="-"))+((AJ764&lt;&gt;0)*(AH764&lt;&gt;"")*(AK764="-")),IF(AG764="X",Übersicht!$C$70,Übersicht!$C$69),"-")</f>
        <v>-</v>
      </c>
      <c r="AA764" s="252" t="str">
        <f>IF((($A764="")*($B764=""))+((MID($Y764,1,4)&lt;&gt;"Wahl")*(Deckblatt!$C$14='WK-Vorlagen'!$C$82))+(Deckblatt!$C$14&lt;&gt;'WK-Vorlagen'!$C$82),"",IF(ISERROR(MATCH(VALUE(MID(G764,1,2)),Schwierigkeitsstufen!$G$7:$G$19,0)),"Gerät falsch",LOOKUP(VALUE(MID(G764,1,2)),Schwierigkeitsstufen!$G$7:$G$19,Schwierigkeitsstufen!$H$7:$H$19)))</f>
        <v/>
      </c>
      <c r="AB764" s="250" t="str">
        <f>IF((($A764="")*($B764=""))+((MID($Y764,1,4)&lt;&gt;"Wahl")*(Deckblatt!$C$14='WK-Vorlagen'!$C$82))+(Deckblatt!$C$14&lt;&gt;'WK-Vorlagen'!$C$82),"",IF(ISERROR(MATCH(VALUE(MID(H764,1,2)),Schwierigkeitsstufen!$G$7:$G$19,0)),"Gerät falsch",LOOKUP(VALUE(MID(H764,1,2)),Schwierigkeitsstufen!$G$7:$G$19,Schwierigkeitsstufen!$H$7:$H$19)))</f>
        <v/>
      </c>
      <c r="AC764" s="250" t="str">
        <f>IF((($A764="")*($B764=""))+((MID($Y764,1,4)&lt;&gt;"Wahl")*(Deckblatt!$C$14='WK-Vorlagen'!$C$82))+(Deckblatt!$C$14&lt;&gt;'WK-Vorlagen'!$C$82),"",IF(ISERROR(MATCH(VALUE(MID(I764,1,2)),Schwierigkeitsstufen!$G$7:$G$19,0)),"Gerät falsch",LOOKUP(VALUE(MID(I764,1,2)),Schwierigkeitsstufen!$G$7:$G$19,Schwierigkeitsstufen!$H$7:$H$19)))</f>
        <v/>
      </c>
      <c r="AD764" s="251" t="str">
        <f>IF((($A764="")*($B764=""))+((MID($Y764,1,4)&lt;&gt;"Wahl")*(Deckblatt!$C$14='WK-Vorlagen'!$C$82))+(Deckblatt!$C$14&lt;&gt;'WK-Vorlagen'!$C$82),"",IF(ISERROR(MATCH(VALUE(MID(J764,1,2)),Schwierigkeitsstufen!$G$7:$G$19,0)),"Gerät falsch",LOOKUP(VALUE(MID(J764,1,2)),Schwierigkeitsstufen!$G$7:$G$19,Schwierigkeitsstufen!$H$7:$H$19)))</f>
        <v/>
      </c>
      <c r="AE764" s="211"/>
      <c r="AG764" s="221" t="str">
        <f t="shared" si="99"/>
        <v/>
      </c>
      <c r="AH764" s="222" t="str">
        <f t="shared" si="101"/>
        <v/>
      </c>
      <c r="AI764" s="220">
        <f t="shared" si="106"/>
        <v>4</v>
      </c>
      <c r="AJ764" s="222">
        <f t="shared" si="102"/>
        <v>0</v>
      </c>
      <c r="AK764" s="299" t="str">
        <f>IF(ISERROR(LOOKUP(E764,WKNrListe,Übersicht!$R$7:$R$46)),"-",LOOKUP(E764,WKNrListe,Übersicht!$R$7:$R$46))</f>
        <v>-</v>
      </c>
      <c r="AL764" s="299" t="str">
        <f t="shared" si="105"/>
        <v>-</v>
      </c>
      <c r="AM764" s="303"/>
      <c r="AN764" s="174" t="str">
        <f t="shared" si="107"/>
        <v>Leer</v>
      </c>
    </row>
    <row r="765" spans="1:40" s="174" customFormat="1" ht="15" customHeight="1">
      <c r="A765" s="63"/>
      <c r="B765" s="63"/>
      <c r="C765" s="84"/>
      <c r="D765" s="85"/>
      <c r="E765" s="62"/>
      <c r="F765" s="62"/>
      <c r="G765" s="62"/>
      <c r="H765" s="62"/>
      <c r="I765" s="62"/>
      <c r="J765" s="62"/>
      <c r="K765" s="62"/>
      <c r="L765" s="62"/>
      <c r="M765" s="62"/>
      <c r="N765" s="62"/>
      <c r="O765" s="62"/>
      <c r="P765" s="62"/>
      <c r="Q765" s="62"/>
      <c r="R765" s="62"/>
      <c r="S765" s="258"/>
      <c r="T765" s="248" t="str">
        <f t="shared" si="103"/>
        <v/>
      </c>
      <c r="U765" s="249" t="str">
        <f t="shared" si="104"/>
        <v/>
      </c>
      <c r="V765" s="294" t="str">
        <f t="shared" si="100"/>
        <v/>
      </c>
      <c r="W765" s="294" t="str">
        <f>IF(((E765="")+(F765="")),"",IF(VLOOKUP(F765,Mannschaften!$A$1:$B$54,2,FALSE)&lt;&gt;E765,"Reiter Mannschaften füllen",""))</f>
        <v/>
      </c>
      <c r="X765" s="248" t="str">
        <f>IF(ISBLANK(C765),"",IF((U765&gt;(LOOKUP(E765,WKNrListe,Übersicht!$O$7:$O$46)))+(U765&lt;(LOOKUP(E765,WKNrListe,Übersicht!$P$7:$P$46))),"JG falsch",""))</f>
        <v/>
      </c>
      <c r="Y765" s="255" t="str">
        <f>IF((A765="")*(B765=""),"",IF(ISERROR(MATCH(E765,WKNrListe,0)),"WK falsch",LOOKUP(E765,WKNrListe,Übersicht!$B$7:$B$46)))</f>
        <v/>
      </c>
      <c r="Z765" s="269" t="str">
        <f>IF(((AJ765=0)*(AH765&lt;&gt;"")*(AK765="-"))+((AJ765&lt;&gt;0)*(AH765&lt;&gt;"")*(AK765="-")),IF(AG765="X",Übersicht!$C$70,Übersicht!$C$69),"-")</f>
        <v>-</v>
      </c>
      <c r="AA765" s="252" t="str">
        <f>IF((($A765="")*($B765=""))+((MID($Y765,1,4)&lt;&gt;"Wahl")*(Deckblatt!$C$14='WK-Vorlagen'!$C$82))+(Deckblatt!$C$14&lt;&gt;'WK-Vorlagen'!$C$82),"",IF(ISERROR(MATCH(VALUE(MID(G765,1,2)),Schwierigkeitsstufen!$G$7:$G$19,0)),"Gerät falsch",LOOKUP(VALUE(MID(G765,1,2)),Schwierigkeitsstufen!$G$7:$G$19,Schwierigkeitsstufen!$H$7:$H$19)))</f>
        <v/>
      </c>
      <c r="AB765" s="250" t="str">
        <f>IF((($A765="")*($B765=""))+((MID($Y765,1,4)&lt;&gt;"Wahl")*(Deckblatt!$C$14='WK-Vorlagen'!$C$82))+(Deckblatt!$C$14&lt;&gt;'WK-Vorlagen'!$C$82),"",IF(ISERROR(MATCH(VALUE(MID(H765,1,2)),Schwierigkeitsstufen!$G$7:$G$19,0)),"Gerät falsch",LOOKUP(VALUE(MID(H765,1,2)),Schwierigkeitsstufen!$G$7:$G$19,Schwierigkeitsstufen!$H$7:$H$19)))</f>
        <v/>
      </c>
      <c r="AC765" s="250" t="str">
        <f>IF((($A765="")*($B765=""))+((MID($Y765,1,4)&lt;&gt;"Wahl")*(Deckblatt!$C$14='WK-Vorlagen'!$C$82))+(Deckblatt!$C$14&lt;&gt;'WK-Vorlagen'!$C$82),"",IF(ISERROR(MATCH(VALUE(MID(I765,1,2)),Schwierigkeitsstufen!$G$7:$G$19,0)),"Gerät falsch",LOOKUP(VALUE(MID(I765,1,2)),Schwierigkeitsstufen!$G$7:$G$19,Schwierigkeitsstufen!$H$7:$H$19)))</f>
        <v/>
      </c>
      <c r="AD765" s="251" t="str">
        <f>IF((($A765="")*($B765=""))+((MID($Y765,1,4)&lt;&gt;"Wahl")*(Deckblatt!$C$14='WK-Vorlagen'!$C$82))+(Deckblatt!$C$14&lt;&gt;'WK-Vorlagen'!$C$82),"",IF(ISERROR(MATCH(VALUE(MID(J765,1,2)),Schwierigkeitsstufen!$G$7:$G$19,0)),"Gerät falsch",LOOKUP(VALUE(MID(J765,1,2)),Schwierigkeitsstufen!$G$7:$G$19,Schwierigkeitsstufen!$H$7:$H$19)))</f>
        <v/>
      </c>
      <c r="AE765" s="211"/>
      <c r="AG765" s="221" t="str">
        <f t="shared" si="99"/>
        <v/>
      </c>
      <c r="AH765" s="222" t="str">
        <f t="shared" si="101"/>
        <v/>
      </c>
      <c r="AI765" s="220">
        <f t="shared" si="106"/>
        <v>4</v>
      </c>
      <c r="AJ765" s="222">
        <f t="shared" si="102"/>
        <v>0</v>
      </c>
      <c r="AK765" s="299" t="str">
        <f>IF(ISERROR(LOOKUP(E765,WKNrListe,Übersicht!$R$7:$R$46)),"-",LOOKUP(E765,WKNrListe,Übersicht!$R$7:$R$46))</f>
        <v>-</v>
      </c>
      <c r="AL765" s="299" t="str">
        <f t="shared" si="105"/>
        <v>-</v>
      </c>
      <c r="AM765" s="303"/>
      <c r="AN765" s="174" t="str">
        <f t="shared" si="107"/>
        <v>Leer</v>
      </c>
    </row>
    <row r="766" spans="1:40" s="174" customFormat="1" ht="15" customHeight="1">
      <c r="A766" s="63"/>
      <c r="B766" s="63"/>
      <c r="C766" s="84"/>
      <c r="D766" s="85"/>
      <c r="E766" s="62"/>
      <c r="F766" s="62"/>
      <c r="G766" s="62"/>
      <c r="H766" s="62"/>
      <c r="I766" s="62"/>
      <c r="J766" s="62"/>
      <c r="K766" s="62"/>
      <c r="L766" s="62"/>
      <c r="M766" s="62"/>
      <c r="N766" s="62"/>
      <c r="O766" s="62"/>
      <c r="P766" s="62"/>
      <c r="Q766" s="62"/>
      <c r="R766" s="62"/>
      <c r="S766" s="258"/>
      <c r="T766" s="248" t="str">
        <f t="shared" si="103"/>
        <v/>
      </c>
      <c r="U766" s="249" t="str">
        <f t="shared" si="104"/>
        <v/>
      </c>
      <c r="V766" s="294" t="str">
        <f t="shared" si="100"/>
        <v/>
      </c>
      <c r="W766" s="294" t="str">
        <f>IF(((E766="")+(F766="")),"",IF(VLOOKUP(F766,Mannschaften!$A$1:$B$54,2,FALSE)&lt;&gt;E766,"Reiter Mannschaften füllen",""))</f>
        <v/>
      </c>
      <c r="X766" s="248" t="str">
        <f>IF(ISBLANK(C766),"",IF((U766&gt;(LOOKUP(E766,WKNrListe,Übersicht!$O$7:$O$46)))+(U766&lt;(LOOKUP(E766,WKNrListe,Übersicht!$P$7:$P$46))),"JG falsch",""))</f>
        <v/>
      </c>
      <c r="Y766" s="255" t="str">
        <f>IF((A766="")*(B766=""),"",IF(ISERROR(MATCH(E766,WKNrListe,0)),"WK falsch",LOOKUP(E766,WKNrListe,Übersicht!$B$7:$B$46)))</f>
        <v/>
      </c>
      <c r="Z766" s="269" t="str">
        <f>IF(((AJ766=0)*(AH766&lt;&gt;"")*(AK766="-"))+((AJ766&lt;&gt;0)*(AH766&lt;&gt;"")*(AK766="-")),IF(AG766="X",Übersicht!$C$70,Übersicht!$C$69),"-")</f>
        <v>-</v>
      </c>
      <c r="AA766" s="252" t="str">
        <f>IF((($A766="")*($B766=""))+((MID($Y766,1,4)&lt;&gt;"Wahl")*(Deckblatt!$C$14='WK-Vorlagen'!$C$82))+(Deckblatt!$C$14&lt;&gt;'WK-Vorlagen'!$C$82),"",IF(ISERROR(MATCH(VALUE(MID(G766,1,2)),Schwierigkeitsstufen!$G$7:$G$19,0)),"Gerät falsch",LOOKUP(VALUE(MID(G766,1,2)),Schwierigkeitsstufen!$G$7:$G$19,Schwierigkeitsstufen!$H$7:$H$19)))</f>
        <v/>
      </c>
      <c r="AB766" s="250" t="str">
        <f>IF((($A766="")*($B766=""))+((MID($Y766,1,4)&lt;&gt;"Wahl")*(Deckblatt!$C$14='WK-Vorlagen'!$C$82))+(Deckblatt!$C$14&lt;&gt;'WK-Vorlagen'!$C$82),"",IF(ISERROR(MATCH(VALUE(MID(H766,1,2)),Schwierigkeitsstufen!$G$7:$G$19,0)),"Gerät falsch",LOOKUP(VALUE(MID(H766,1,2)),Schwierigkeitsstufen!$G$7:$G$19,Schwierigkeitsstufen!$H$7:$H$19)))</f>
        <v/>
      </c>
      <c r="AC766" s="250" t="str">
        <f>IF((($A766="")*($B766=""))+((MID($Y766,1,4)&lt;&gt;"Wahl")*(Deckblatt!$C$14='WK-Vorlagen'!$C$82))+(Deckblatt!$C$14&lt;&gt;'WK-Vorlagen'!$C$82),"",IF(ISERROR(MATCH(VALUE(MID(I766,1,2)),Schwierigkeitsstufen!$G$7:$G$19,0)),"Gerät falsch",LOOKUP(VALUE(MID(I766,1,2)),Schwierigkeitsstufen!$G$7:$G$19,Schwierigkeitsstufen!$H$7:$H$19)))</f>
        <v/>
      </c>
      <c r="AD766" s="251" t="str">
        <f>IF((($A766="")*($B766=""))+((MID($Y766,1,4)&lt;&gt;"Wahl")*(Deckblatt!$C$14='WK-Vorlagen'!$C$82))+(Deckblatt!$C$14&lt;&gt;'WK-Vorlagen'!$C$82),"",IF(ISERROR(MATCH(VALUE(MID(J766,1,2)),Schwierigkeitsstufen!$G$7:$G$19,0)),"Gerät falsch",LOOKUP(VALUE(MID(J766,1,2)),Schwierigkeitsstufen!$G$7:$G$19,Schwierigkeitsstufen!$H$7:$H$19)))</f>
        <v/>
      </c>
      <c r="AE766" s="211"/>
      <c r="AG766" s="221" t="str">
        <f t="shared" si="99"/>
        <v/>
      </c>
      <c r="AH766" s="222" t="str">
        <f t="shared" si="101"/>
        <v/>
      </c>
      <c r="AI766" s="220">
        <f t="shared" si="106"/>
        <v>4</v>
      </c>
      <c r="AJ766" s="222">
        <f t="shared" si="102"/>
        <v>0</v>
      </c>
      <c r="AK766" s="299" t="str">
        <f>IF(ISERROR(LOOKUP(E766,WKNrListe,Übersicht!$R$7:$R$46)),"-",LOOKUP(E766,WKNrListe,Übersicht!$R$7:$R$46))</f>
        <v>-</v>
      </c>
      <c r="AL766" s="299" t="str">
        <f t="shared" si="105"/>
        <v>-</v>
      </c>
      <c r="AM766" s="303"/>
      <c r="AN766" s="174" t="str">
        <f t="shared" si="107"/>
        <v>Leer</v>
      </c>
    </row>
    <row r="767" spans="1:40" s="174" customFormat="1" ht="15" customHeight="1">
      <c r="A767" s="63"/>
      <c r="B767" s="63"/>
      <c r="C767" s="84"/>
      <c r="D767" s="85"/>
      <c r="E767" s="62"/>
      <c r="F767" s="62"/>
      <c r="G767" s="62"/>
      <c r="H767" s="62"/>
      <c r="I767" s="62"/>
      <c r="J767" s="62"/>
      <c r="K767" s="62"/>
      <c r="L767" s="62"/>
      <c r="M767" s="62"/>
      <c r="N767" s="62"/>
      <c r="O767" s="62"/>
      <c r="P767" s="62"/>
      <c r="Q767" s="62"/>
      <c r="R767" s="62"/>
      <c r="S767" s="258"/>
      <c r="T767" s="248" t="str">
        <f t="shared" si="103"/>
        <v/>
      </c>
      <c r="U767" s="249" t="str">
        <f t="shared" si="104"/>
        <v/>
      </c>
      <c r="V767" s="294" t="str">
        <f t="shared" si="100"/>
        <v/>
      </c>
      <c r="W767" s="294" t="str">
        <f>IF(((E767="")+(F767="")),"",IF(VLOOKUP(F767,Mannschaften!$A$1:$B$54,2,FALSE)&lt;&gt;E767,"Reiter Mannschaften füllen",""))</f>
        <v/>
      </c>
      <c r="X767" s="248" t="str">
        <f>IF(ISBLANK(C767),"",IF((U767&gt;(LOOKUP(E767,WKNrListe,Übersicht!$O$7:$O$46)))+(U767&lt;(LOOKUP(E767,WKNrListe,Übersicht!$P$7:$P$46))),"JG falsch",""))</f>
        <v/>
      </c>
      <c r="Y767" s="255" t="str">
        <f>IF((A767="")*(B767=""),"",IF(ISERROR(MATCH(E767,WKNrListe,0)),"WK falsch",LOOKUP(E767,WKNrListe,Übersicht!$B$7:$B$46)))</f>
        <v/>
      </c>
      <c r="Z767" s="269" t="str">
        <f>IF(((AJ767=0)*(AH767&lt;&gt;"")*(AK767="-"))+((AJ767&lt;&gt;0)*(AH767&lt;&gt;"")*(AK767="-")),IF(AG767="X",Übersicht!$C$70,Übersicht!$C$69),"-")</f>
        <v>-</v>
      </c>
      <c r="AA767" s="252" t="str">
        <f>IF((($A767="")*($B767=""))+((MID($Y767,1,4)&lt;&gt;"Wahl")*(Deckblatt!$C$14='WK-Vorlagen'!$C$82))+(Deckblatt!$C$14&lt;&gt;'WK-Vorlagen'!$C$82),"",IF(ISERROR(MATCH(VALUE(MID(G767,1,2)),Schwierigkeitsstufen!$G$7:$G$19,0)),"Gerät falsch",LOOKUP(VALUE(MID(G767,1,2)),Schwierigkeitsstufen!$G$7:$G$19,Schwierigkeitsstufen!$H$7:$H$19)))</f>
        <v/>
      </c>
      <c r="AB767" s="250" t="str">
        <f>IF((($A767="")*($B767=""))+((MID($Y767,1,4)&lt;&gt;"Wahl")*(Deckblatt!$C$14='WK-Vorlagen'!$C$82))+(Deckblatt!$C$14&lt;&gt;'WK-Vorlagen'!$C$82),"",IF(ISERROR(MATCH(VALUE(MID(H767,1,2)),Schwierigkeitsstufen!$G$7:$G$19,0)),"Gerät falsch",LOOKUP(VALUE(MID(H767,1,2)),Schwierigkeitsstufen!$G$7:$G$19,Schwierigkeitsstufen!$H$7:$H$19)))</f>
        <v/>
      </c>
      <c r="AC767" s="250" t="str">
        <f>IF((($A767="")*($B767=""))+((MID($Y767,1,4)&lt;&gt;"Wahl")*(Deckblatt!$C$14='WK-Vorlagen'!$C$82))+(Deckblatt!$C$14&lt;&gt;'WK-Vorlagen'!$C$82),"",IF(ISERROR(MATCH(VALUE(MID(I767,1,2)),Schwierigkeitsstufen!$G$7:$G$19,0)),"Gerät falsch",LOOKUP(VALUE(MID(I767,1,2)),Schwierigkeitsstufen!$G$7:$G$19,Schwierigkeitsstufen!$H$7:$H$19)))</f>
        <v/>
      </c>
      <c r="AD767" s="251" t="str">
        <f>IF((($A767="")*($B767=""))+((MID($Y767,1,4)&lt;&gt;"Wahl")*(Deckblatt!$C$14='WK-Vorlagen'!$C$82))+(Deckblatt!$C$14&lt;&gt;'WK-Vorlagen'!$C$82),"",IF(ISERROR(MATCH(VALUE(MID(J767,1,2)),Schwierigkeitsstufen!$G$7:$G$19,0)),"Gerät falsch",LOOKUP(VALUE(MID(J767,1,2)),Schwierigkeitsstufen!$G$7:$G$19,Schwierigkeitsstufen!$H$7:$H$19)))</f>
        <v/>
      </c>
      <c r="AE767" s="211"/>
      <c r="AG767" s="221" t="str">
        <f t="shared" si="99"/>
        <v/>
      </c>
      <c r="AH767" s="222" t="str">
        <f t="shared" si="101"/>
        <v/>
      </c>
      <c r="AI767" s="220">
        <f t="shared" si="106"/>
        <v>4</v>
      </c>
      <c r="AJ767" s="222">
        <f t="shared" si="102"/>
        <v>0</v>
      </c>
      <c r="AK767" s="299" t="str">
        <f>IF(ISERROR(LOOKUP(E767,WKNrListe,Übersicht!$R$7:$R$46)),"-",LOOKUP(E767,WKNrListe,Übersicht!$R$7:$R$46))</f>
        <v>-</v>
      </c>
      <c r="AL767" s="299" t="str">
        <f t="shared" si="105"/>
        <v>-</v>
      </c>
      <c r="AM767" s="303"/>
      <c r="AN767" s="174" t="str">
        <f t="shared" si="107"/>
        <v>Leer</v>
      </c>
    </row>
    <row r="768" spans="1:40" s="174" customFormat="1" ht="15" customHeight="1">
      <c r="A768" s="63"/>
      <c r="B768" s="63"/>
      <c r="C768" s="84"/>
      <c r="D768" s="85"/>
      <c r="E768" s="62"/>
      <c r="F768" s="62"/>
      <c r="G768" s="62"/>
      <c r="H768" s="62"/>
      <c r="I768" s="62"/>
      <c r="J768" s="62"/>
      <c r="K768" s="62"/>
      <c r="L768" s="62"/>
      <c r="M768" s="62"/>
      <c r="N768" s="62"/>
      <c r="O768" s="62"/>
      <c r="P768" s="62"/>
      <c r="Q768" s="62"/>
      <c r="R768" s="62"/>
      <c r="S768" s="258"/>
      <c r="T768" s="248" t="str">
        <f t="shared" si="103"/>
        <v/>
      </c>
      <c r="U768" s="249" t="str">
        <f t="shared" si="104"/>
        <v/>
      </c>
      <c r="V768" s="294" t="str">
        <f t="shared" si="100"/>
        <v/>
      </c>
      <c r="W768" s="294" t="str">
        <f>IF(((E768="")+(F768="")),"",IF(VLOOKUP(F768,Mannschaften!$A$1:$B$54,2,FALSE)&lt;&gt;E768,"Reiter Mannschaften füllen",""))</f>
        <v/>
      </c>
      <c r="X768" s="248" t="str">
        <f>IF(ISBLANK(C768),"",IF((U768&gt;(LOOKUP(E768,WKNrListe,Übersicht!$O$7:$O$46)))+(U768&lt;(LOOKUP(E768,WKNrListe,Übersicht!$P$7:$P$46))),"JG falsch",""))</f>
        <v/>
      </c>
      <c r="Y768" s="255" t="str">
        <f>IF((A768="")*(B768=""),"",IF(ISERROR(MATCH(E768,WKNrListe,0)),"WK falsch",LOOKUP(E768,WKNrListe,Übersicht!$B$7:$B$46)))</f>
        <v/>
      </c>
      <c r="Z768" s="269" t="str">
        <f>IF(((AJ768=0)*(AH768&lt;&gt;"")*(AK768="-"))+((AJ768&lt;&gt;0)*(AH768&lt;&gt;"")*(AK768="-")),IF(AG768="X",Übersicht!$C$70,Übersicht!$C$69),"-")</f>
        <v>-</v>
      </c>
      <c r="AA768" s="252" t="str">
        <f>IF((($A768="")*($B768=""))+((MID($Y768,1,4)&lt;&gt;"Wahl")*(Deckblatt!$C$14='WK-Vorlagen'!$C$82))+(Deckblatt!$C$14&lt;&gt;'WK-Vorlagen'!$C$82),"",IF(ISERROR(MATCH(VALUE(MID(G768,1,2)),Schwierigkeitsstufen!$G$7:$G$19,0)),"Gerät falsch",LOOKUP(VALUE(MID(G768,1,2)),Schwierigkeitsstufen!$G$7:$G$19,Schwierigkeitsstufen!$H$7:$H$19)))</f>
        <v/>
      </c>
      <c r="AB768" s="250" t="str">
        <f>IF((($A768="")*($B768=""))+((MID($Y768,1,4)&lt;&gt;"Wahl")*(Deckblatt!$C$14='WK-Vorlagen'!$C$82))+(Deckblatt!$C$14&lt;&gt;'WK-Vorlagen'!$C$82),"",IF(ISERROR(MATCH(VALUE(MID(H768,1,2)),Schwierigkeitsstufen!$G$7:$G$19,0)),"Gerät falsch",LOOKUP(VALUE(MID(H768,1,2)),Schwierigkeitsstufen!$G$7:$G$19,Schwierigkeitsstufen!$H$7:$H$19)))</f>
        <v/>
      </c>
      <c r="AC768" s="250" t="str">
        <f>IF((($A768="")*($B768=""))+((MID($Y768,1,4)&lt;&gt;"Wahl")*(Deckblatt!$C$14='WK-Vorlagen'!$C$82))+(Deckblatt!$C$14&lt;&gt;'WK-Vorlagen'!$C$82),"",IF(ISERROR(MATCH(VALUE(MID(I768,1,2)),Schwierigkeitsstufen!$G$7:$G$19,0)),"Gerät falsch",LOOKUP(VALUE(MID(I768,1,2)),Schwierigkeitsstufen!$G$7:$G$19,Schwierigkeitsstufen!$H$7:$H$19)))</f>
        <v/>
      </c>
      <c r="AD768" s="251" t="str">
        <f>IF((($A768="")*($B768=""))+((MID($Y768,1,4)&lt;&gt;"Wahl")*(Deckblatt!$C$14='WK-Vorlagen'!$C$82))+(Deckblatt!$C$14&lt;&gt;'WK-Vorlagen'!$C$82),"",IF(ISERROR(MATCH(VALUE(MID(J768,1,2)),Schwierigkeitsstufen!$G$7:$G$19,0)),"Gerät falsch",LOOKUP(VALUE(MID(J768,1,2)),Schwierigkeitsstufen!$G$7:$G$19,Schwierigkeitsstufen!$H$7:$H$19)))</f>
        <v/>
      </c>
      <c r="AE768" s="211"/>
      <c r="AG768" s="221" t="str">
        <f t="shared" si="99"/>
        <v/>
      </c>
      <c r="AH768" s="222" t="str">
        <f t="shared" si="101"/>
        <v/>
      </c>
      <c r="AI768" s="220">
        <f t="shared" si="106"/>
        <v>4</v>
      </c>
      <c r="AJ768" s="222">
        <f t="shared" si="102"/>
        <v>0</v>
      </c>
      <c r="AK768" s="299" t="str">
        <f>IF(ISERROR(LOOKUP(E768,WKNrListe,Übersicht!$R$7:$R$46)),"-",LOOKUP(E768,WKNrListe,Übersicht!$R$7:$R$46))</f>
        <v>-</v>
      </c>
      <c r="AL768" s="299" t="str">
        <f t="shared" si="105"/>
        <v>-</v>
      </c>
      <c r="AM768" s="303"/>
      <c r="AN768" s="174" t="str">
        <f t="shared" si="107"/>
        <v>Leer</v>
      </c>
    </row>
    <row r="769" spans="1:40" s="174" customFormat="1" ht="15" customHeight="1">
      <c r="A769" s="63"/>
      <c r="B769" s="63"/>
      <c r="C769" s="84"/>
      <c r="D769" s="85"/>
      <c r="E769" s="62"/>
      <c r="F769" s="62"/>
      <c r="G769" s="62"/>
      <c r="H769" s="62"/>
      <c r="I769" s="62"/>
      <c r="J769" s="62"/>
      <c r="K769" s="62"/>
      <c r="L769" s="62"/>
      <c r="M769" s="62"/>
      <c r="N769" s="62"/>
      <c r="O769" s="62"/>
      <c r="P769" s="62"/>
      <c r="Q769" s="62"/>
      <c r="R769" s="62"/>
      <c r="S769" s="258"/>
      <c r="T769" s="248" t="str">
        <f t="shared" si="103"/>
        <v/>
      </c>
      <c r="U769" s="249" t="str">
        <f t="shared" si="104"/>
        <v/>
      </c>
      <c r="V769" s="294" t="str">
        <f t="shared" si="100"/>
        <v/>
      </c>
      <c r="W769" s="294" t="str">
        <f>IF(((E769="")+(F769="")),"",IF(VLOOKUP(F769,Mannschaften!$A$1:$B$54,2,FALSE)&lt;&gt;E769,"Reiter Mannschaften füllen",""))</f>
        <v/>
      </c>
      <c r="X769" s="248" t="str">
        <f>IF(ISBLANK(C769),"",IF((U769&gt;(LOOKUP(E769,WKNrListe,Übersicht!$O$7:$O$46)))+(U769&lt;(LOOKUP(E769,WKNrListe,Übersicht!$P$7:$P$46))),"JG falsch",""))</f>
        <v/>
      </c>
      <c r="Y769" s="255" t="str">
        <f>IF((A769="")*(B769=""),"",IF(ISERROR(MATCH(E769,WKNrListe,0)),"WK falsch",LOOKUP(E769,WKNrListe,Übersicht!$B$7:$B$46)))</f>
        <v/>
      </c>
      <c r="Z769" s="269" t="str">
        <f>IF(((AJ769=0)*(AH769&lt;&gt;"")*(AK769="-"))+((AJ769&lt;&gt;0)*(AH769&lt;&gt;"")*(AK769="-")),IF(AG769="X",Übersicht!$C$70,Übersicht!$C$69),"-")</f>
        <v>-</v>
      </c>
      <c r="AA769" s="252" t="str">
        <f>IF((($A769="")*($B769=""))+((MID($Y769,1,4)&lt;&gt;"Wahl")*(Deckblatt!$C$14='WK-Vorlagen'!$C$82))+(Deckblatt!$C$14&lt;&gt;'WK-Vorlagen'!$C$82),"",IF(ISERROR(MATCH(VALUE(MID(G769,1,2)),Schwierigkeitsstufen!$G$7:$G$19,0)),"Gerät falsch",LOOKUP(VALUE(MID(G769,1,2)),Schwierigkeitsstufen!$G$7:$G$19,Schwierigkeitsstufen!$H$7:$H$19)))</f>
        <v/>
      </c>
      <c r="AB769" s="250" t="str">
        <f>IF((($A769="")*($B769=""))+((MID($Y769,1,4)&lt;&gt;"Wahl")*(Deckblatt!$C$14='WK-Vorlagen'!$C$82))+(Deckblatt!$C$14&lt;&gt;'WK-Vorlagen'!$C$82),"",IF(ISERROR(MATCH(VALUE(MID(H769,1,2)),Schwierigkeitsstufen!$G$7:$G$19,0)),"Gerät falsch",LOOKUP(VALUE(MID(H769,1,2)),Schwierigkeitsstufen!$G$7:$G$19,Schwierigkeitsstufen!$H$7:$H$19)))</f>
        <v/>
      </c>
      <c r="AC769" s="250" t="str">
        <f>IF((($A769="")*($B769=""))+((MID($Y769,1,4)&lt;&gt;"Wahl")*(Deckblatt!$C$14='WK-Vorlagen'!$C$82))+(Deckblatt!$C$14&lt;&gt;'WK-Vorlagen'!$C$82),"",IF(ISERROR(MATCH(VALUE(MID(I769,1,2)),Schwierigkeitsstufen!$G$7:$G$19,0)),"Gerät falsch",LOOKUP(VALUE(MID(I769,1,2)),Schwierigkeitsstufen!$G$7:$G$19,Schwierigkeitsstufen!$H$7:$H$19)))</f>
        <v/>
      </c>
      <c r="AD769" s="251" t="str">
        <f>IF((($A769="")*($B769=""))+((MID($Y769,1,4)&lt;&gt;"Wahl")*(Deckblatt!$C$14='WK-Vorlagen'!$C$82))+(Deckblatt!$C$14&lt;&gt;'WK-Vorlagen'!$C$82),"",IF(ISERROR(MATCH(VALUE(MID(J769,1,2)),Schwierigkeitsstufen!$G$7:$G$19,0)),"Gerät falsch",LOOKUP(VALUE(MID(J769,1,2)),Schwierigkeitsstufen!$G$7:$G$19,Schwierigkeitsstufen!$H$7:$H$19)))</f>
        <v/>
      </c>
      <c r="AE769" s="211"/>
      <c r="AG769" s="221" t="str">
        <f t="shared" si="99"/>
        <v/>
      </c>
      <c r="AH769" s="222" t="str">
        <f t="shared" si="101"/>
        <v/>
      </c>
      <c r="AI769" s="220">
        <f t="shared" si="106"/>
        <v>4</v>
      </c>
      <c r="AJ769" s="222">
        <f t="shared" si="102"/>
        <v>0</v>
      </c>
      <c r="AK769" s="299" t="str">
        <f>IF(ISERROR(LOOKUP(E769,WKNrListe,Übersicht!$R$7:$R$46)),"-",LOOKUP(E769,WKNrListe,Übersicht!$R$7:$R$46))</f>
        <v>-</v>
      </c>
      <c r="AL769" s="299" t="str">
        <f t="shared" si="105"/>
        <v>-</v>
      </c>
      <c r="AM769" s="303"/>
      <c r="AN769" s="174" t="str">
        <f t="shared" si="107"/>
        <v>Leer</v>
      </c>
    </row>
    <row r="770" spans="1:40" s="174" customFormat="1" ht="15" customHeight="1">
      <c r="A770" s="63"/>
      <c r="B770" s="63"/>
      <c r="C770" s="84"/>
      <c r="D770" s="85"/>
      <c r="E770" s="62"/>
      <c r="F770" s="62"/>
      <c r="G770" s="62"/>
      <c r="H770" s="62"/>
      <c r="I770" s="62"/>
      <c r="J770" s="62"/>
      <c r="K770" s="62"/>
      <c r="L770" s="62"/>
      <c r="M770" s="62"/>
      <c r="N770" s="62"/>
      <c r="O770" s="62"/>
      <c r="P770" s="62"/>
      <c r="Q770" s="62"/>
      <c r="R770" s="62"/>
      <c r="S770" s="258"/>
      <c r="T770" s="248" t="str">
        <f t="shared" si="103"/>
        <v/>
      </c>
      <c r="U770" s="249" t="str">
        <f t="shared" si="104"/>
        <v/>
      </c>
      <c r="V770" s="294" t="str">
        <f t="shared" si="100"/>
        <v/>
      </c>
      <c r="W770" s="294" t="str">
        <f>IF(((E770="")+(F770="")),"",IF(VLOOKUP(F770,Mannschaften!$A$1:$B$54,2,FALSE)&lt;&gt;E770,"Reiter Mannschaften füllen",""))</f>
        <v/>
      </c>
      <c r="X770" s="248" t="str">
        <f>IF(ISBLANK(C770),"",IF((U770&gt;(LOOKUP(E770,WKNrListe,Übersicht!$O$7:$O$46)))+(U770&lt;(LOOKUP(E770,WKNrListe,Übersicht!$P$7:$P$46))),"JG falsch",""))</f>
        <v/>
      </c>
      <c r="Y770" s="255" t="str">
        <f>IF((A770="")*(B770=""),"",IF(ISERROR(MATCH(E770,WKNrListe,0)),"WK falsch",LOOKUP(E770,WKNrListe,Übersicht!$B$7:$B$46)))</f>
        <v/>
      </c>
      <c r="Z770" s="269" t="str">
        <f>IF(((AJ770=0)*(AH770&lt;&gt;"")*(AK770="-"))+((AJ770&lt;&gt;0)*(AH770&lt;&gt;"")*(AK770="-")),IF(AG770="X",Übersicht!$C$70,Übersicht!$C$69),"-")</f>
        <v>-</v>
      </c>
      <c r="AA770" s="252" t="str">
        <f>IF((($A770="")*($B770=""))+((MID($Y770,1,4)&lt;&gt;"Wahl")*(Deckblatt!$C$14='WK-Vorlagen'!$C$82))+(Deckblatt!$C$14&lt;&gt;'WK-Vorlagen'!$C$82),"",IF(ISERROR(MATCH(VALUE(MID(G770,1,2)),Schwierigkeitsstufen!$G$7:$G$19,0)),"Gerät falsch",LOOKUP(VALUE(MID(G770,1,2)),Schwierigkeitsstufen!$G$7:$G$19,Schwierigkeitsstufen!$H$7:$H$19)))</f>
        <v/>
      </c>
      <c r="AB770" s="250" t="str">
        <f>IF((($A770="")*($B770=""))+((MID($Y770,1,4)&lt;&gt;"Wahl")*(Deckblatt!$C$14='WK-Vorlagen'!$C$82))+(Deckblatt!$C$14&lt;&gt;'WK-Vorlagen'!$C$82),"",IF(ISERROR(MATCH(VALUE(MID(H770,1,2)),Schwierigkeitsstufen!$G$7:$G$19,0)),"Gerät falsch",LOOKUP(VALUE(MID(H770,1,2)),Schwierigkeitsstufen!$G$7:$G$19,Schwierigkeitsstufen!$H$7:$H$19)))</f>
        <v/>
      </c>
      <c r="AC770" s="250" t="str">
        <f>IF((($A770="")*($B770=""))+((MID($Y770,1,4)&lt;&gt;"Wahl")*(Deckblatt!$C$14='WK-Vorlagen'!$C$82))+(Deckblatt!$C$14&lt;&gt;'WK-Vorlagen'!$C$82),"",IF(ISERROR(MATCH(VALUE(MID(I770,1,2)),Schwierigkeitsstufen!$G$7:$G$19,0)),"Gerät falsch",LOOKUP(VALUE(MID(I770,1,2)),Schwierigkeitsstufen!$G$7:$G$19,Schwierigkeitsstufen!$H$7:$H$19)))</f>
        <v/>
      </c>
      <c r="AD770" s="251" t="str">
        <f>IF((($A770="")*($B770=""))+((MID($Y770,1,4)&lt;&gt;"Wahl")*(Deckblatt!$C$14='WK-Vorlagen'!$C$82))+(Deckblatt!$C$14&lt;&gt;'WK-Vorlagen'!$C$82),"",IF(ISERROR(MATCH(VALUE(MID(J770,1,2)),Schwierigkeitsstufen!$G$7:$G$19,0)),"Gerät falsch",LOOKUP(VALUE(MID(J770,1,2)),Schwierigkeitsstufen!$G$7:$G$19,Schwierigkeitsstufen!$H$7:$H$19)))</f>
        <v/>
      </c>
      <c r="AE770" s="211"/>
      <c r="AG770" s="221" t="str">
        <f t="shared" si="99"/>
        <v/>
      </c>
      <c r="AH770" s="222" t="str">
        <f t="shared" si="101"/>
        <v/>
      </c>
      <c r="AI770" s="220">
        <f t="shared" si="106"/>
        <v>4</v>
      </c>
      <c r="AJ770" s="222">
        <f t="shared" si="102"/>
        <v>0</v>
      </c>
      <c r="AK770" s="299" t="str">
        <f>IF(ISERROR(LOOKUP(E770,WKNrListe,Übersicht!$R$7:$R$46)),"-",LOOKUP(E770,WKNrListe,Übersicht!$R$7:$R$46))</f>
        <v>-</v>
      </c>
      <c r="AL770" s="299" t="str">
        <f t="shared" si="105"/>
        <v>-</v>
      </c>
      <c r="AM770" s="303"/>
      <c r="AN770" s="174" t="str">
        <f t="shared" si="107"/>
        <v>Leer</v>
      </c>
    </row>
    <row r="771" spans="1:40" s="174" customFormat="1" ht="15" customHeight="1">
      <c r="A771" s="63"/>
      <c r="B771" s="63"/>
      <c r="C771" s="84"/>
      <c r="D771" s="85"/>
      <c r="E771" s="62"/>
      <c r="F771" s="62"/>
      <c r="G771" s="62"/>
      <c r="H771" s="62"/>
      <c r="I771" s="62"/>
      <c r="J771" s="62"/>
      <c r="K771" s="62"/>
      <c r="L771" s="62"/>
      <c r="M771" s="62"/>
      <c r="N771" s="62"/>
      <c r="O771" s="62"/>
      <c r="P771" s="62"/>
      <c r="Q771" s="62"/>
      <c r="R771" s="62"/>
      <c r="S771" s="258"/>
      <c r="T771" s="248" t="str">
        <f t="shared" si="103"/>
        <v/>
      </c>
      <c r="U771" s="249" t="str">
        <f t="shared" si="104"/>
        <v/>
      </c>
      <c r="V771" s="294" t="str">
        <f t="shared" si="100"/>
        <v/>
      </c>
      <c r="W771" s="294" t="str">
        <f>IF(((E771="")+(F771="")),"",IF(VLOOKUP(F771,Mannschaften!$A$1:$B$54,2,FALSE)&lt;&gt;E771,"Reiter Mannschaften füllen",""))</f>
        <v/>
      </c>
      <c r="X771" s="248" t="str">
        <f>IF(ISBLANK(C771),"",IF((U771&gt;(LOOKUP(E771,WKNrListe,Übersicht!$O$7:$O$46)))+(U771&lt;(LOOKUP(E771,WKNrListe,Übersicht!$P$7:$P$46))),"JG falsch",""))</f>
        <v/>
      </c>
      <c r="Y771" s="255" t="str">
        <f>IF((A771="")*(B771=""),"",IF(ISERROR(MATCH(E771,WKNrListe,0)),"WK falsch",LOOKUP(E771,WKNrListe,Übersicht!$B$7:$B$46)))</f>
        <v/>
      </c>
      <c r="Z771" s="269" t="str">
        <f>IF(((AJ771=0)*(AH771&lt;&gt;"")*(AK771="-"))+((AJ771&lt;&gt;0)*(AH771&lt;&gt;"")*(AK771="-")),IF(AG771="X",Übersicht!$C$70,Übersicht!$C$69),"-")</f>
        <v>-</v>
      </c>
      <c r="AA771" s="252" t="str">
        <f>IF((($A771="")*($B771=""))+((MID($Y771,1,4)&lt;&gt;"Wahl")*(Deckblatt!$C$14='WK-Vorlagen'!$C$82))+(Deckblatt!$C$14&lt;&gt;'WK-Vorlagen'!$C$82),"",IF(ISERROR(MATCH(VALUE(MID(G771,1,2)),Schwierigkeitsstufen!$G$7:$G$19,0)),"Gerät falsch",LOOKUP(VALUE(MID(G771,1,2)),Schwierigkeitsstufen!$G$7:$G$19,Schwierigkeitsstufen!$H$7:$H$19)))</f>
        <v/>
      </c>
      <c r="AB771" s="250" t="str">
        <f>IF((($A771="")*($B771=""))+((MID($Y771,1,4)&lt;&gt;"Wahl")*(Deckblatt!$C$14='WK-Vorlagen'!$C$82))+(Deckblatt!$C$14&lt;&gt;'WK-Vorlagen'!$C$82),"",IF(ISERROR(MATCH(VALUE(MID(H771,1,2)),Schwierigkeitsstufen!$G$7:$G$19,0)),"Gerät falsch",LOOKUP(VALUE(MID(H771,1,2)),Schwierigkeitsstufen!$G$7:$G$19,Schwierigkeitsstufen!$H$7:$H$19)))</f>
        <v/>
      </c>
      <c r="AC771" s="250" t="str">
        <f>IF((($A771="")*($B771=""))+((MID($Y771,1,4)&lt;&gt;"Wahl")*(Deckblatt!$C$14='WK-Vorlagen'!$C$82))+(Deckblatt!$C$14&lt;&gt;'WK-Vorlagen'!$C$82),"",IF(ISERROR(MATCH(VALUE(MID(I771,1,2)),Schwierigkeitsstufen!$G$7:$G$19,0)),"Gerät falsch",LOOKUP(VALUE(MID(I771,1,2)),Schwierigkeitsstufen!$G$7:$G$19,Schwierigkeitsstufen!$H$7:$H$19)))</f>
        <v/>
      </c>
      <c r="AD771" s="251" t="str">
        <f>IF((($A771="")*($B771=""))+((MID($Y771,1,4)&lt;&gt;"Wahl")*(Deckblatt!$C$14='WK-Vorlagen'!$C$82))+(Deckblatt!$C$14&lt;&gt;'WK-Vorlagen'!$C$82),"",IF(ISERROR(MATCH(VALUE(MID(J771,1,2)),Schwierigkeitsstufen!$G$7:$G$19,0)),"Gerät falsch",LOOKUP(VALUE(MID(J771,1,2)),Schwierigkeitsstufen!$G$7:$G$19,Schwierigkeitsstufen!$H$7:$H$19)))</f>
        <v/>
      </c>
      <c r="AE771" s="211"/>
      <c r="AG771" s="221" t="str">
        <f t="shared" si="99"/>
        <v/>
      </c>
      <c r="AH771" s="222" t="str">
        <f t="shared" si="101"/>
        <v/>
      </c>
      <c r="AI771" s="220">
        <f t="shared" si="106"/>
        <v>4</v>
      </c>
      <c r="AJ771" s="222">
        <f t="shared" si="102"/>
        <v>0</v>
      </c>
      <c r="AK771" s="299" t="str">
        <f>IF(ISERROR(LOOKUP(E771,WKNrListe,Übersicht!$R$7:$R$46)),"-",LOOKUP(E771,WKNrListe,Übersicht!$R$7:$R$46))</f>
        <v>-</v>
      </c>
      <c r="AL771" s="299" t="str">
        <f t="shared" si="105"/>
        <v>-</v>
      </c>
      <c r="AM771" s="303"/>
      <c r="AN771" s="174" t="str">
        <f t="shared" si="107"/>
        <v>Leer</v>
      </c>
    </row>
    <row r="772" spans="1:40" s="174" customFormat="1" ht="15" customHeight="1">
      <c r="A772" s="63"/>
      <c r="B772" s="63"/>
      <c r="C772" s="84"/>
      <c r="D772" s="85"/>
      <c r="E772" s="62"/>
      <c r="F772" s="62"/>
      <c r="G772" s="62"/>
      <c r="H772" s="62"/>
      <c r="I772" s="62"/>
      <c r="J772" s="62"/>
      <c r="K772" s="62"/>
      <c r="L772" s="62"/>
      <c r="M772" s="62"/>
      <c r="N772" s="62"/>
      <c r="O772" s="62"/>
      <c r="P772" s="62"/>
      <c r="Q772" s="62"/>
      <c r="R772" s="62"/>
      <c r="S772" s="258"/>
      <c r="T772" s="248" t="str">
        <f t="shared" si="103"/>
        <v/>
      </c>
      <c r="U772" s="249" t="str">
        <f t="shared" si="104"/>
        <v/>
      </c>
      <c r="V772" s="294" t="str">
        <f t="shared" si="100"/>
        <v/>
      </c>
      <c r="W772" s="294" t="str">
        <f>IF(((E772="")+(F772="")),"",IF(VLOOKUP(F772,Mannschaften!$A$1:$B$54,2,FALSE)&lt;&gt;E772,"Reiter Mannschaften füllen",""))</f>
        <v/>
      </c>
      <c r="X772" s="248" t="str">
        <f>IF(ISBLANK(C772),"",IF((U772&gt;(LOOKUP(E772,WKNrListe,Übersicht!$O$7:$O$46)))+(U772&lt;(LOOKUP(E772,WKNrListe,Übersicht!$P$7:$P$46))),"JG falsch",""))</f>
        <v/>
      </c>
      <c r="Y772" s="255" t="str">
        <f>IF((A772="")*(B772=""),"",IF(ISERROR(MATCH(E772,WKNrListe,0)),"WK falsch",LOOKUP(E772,WKNrListe,Übersicht!$B$7:$B$46)))</f>
        <v/>
      </c>
      <c r="Z772" s="269" t="str">
        <f>IF(((AJ772=0)*(AH772&lt;&gt;"")*(AK772="-"))+((AJ772&lt;&gt;0)*(AH772&lt;&gt;"")*(AK772="-")),IF(AG772="X",Übersicht!$C$70,Übersicht!$C$69),"-")</f>
        <v>-</v>
      </c>
      <c r="AA772" s="252" t="str">
        <f>IF((($A772="")*($B772=""))+((MID($Y772,1,4)&lt;&gt;"Wahl")*(Deckblatt!$C$14='WK-Vorlagen'!$C$82))+(Deckblatt!$C$14&lt;&gt;'WK-Vorlagen'!$C$82),"",IF(ISERROR(MATCH(VALUE(MID(G772,1,2)),Schwierigkeitsstufen!$G$7:$G$19,0)),"Gerät falsch",LOOKUP(VALUE(MID(G772,1,2)),Schwierigkeitsstufen!$G$7:$G$19,Schwierigkeitsstufen!$H$7:$H$19)))</f>
        <v/>
      </c>
      <c r="AB772" s="250" t="str">
        <f>IF((($A772="")*($B772=""))+((MID($Y772,1,4)&lt;&gt;"Wahl")*(Deckblatt!$C$14='WK-Vorlagen'!$C$82))+(Deckblatt!$C$14&lt;&gt;'WK-Vorlagen'!$C$82),"",IF(ISERROR(MATCH(VALUE(MID(H772,1,2)),Schwierigkeitsstufen!$G$7:$G$19,0)),"Gerät falsch",LOOKUP(VALUE(MID(H772,1,2)),Schwierigkeitsstufen!$G$7:$G$19,Schwierigkeitsstufen!$H$7:$H$19)))</f>
        <v/>
      </c>
      <c r="AC772" s="250" t="str">
        <f>IF((($A772="")*($B772=""))+((MID($Y772,1,4)&lt;&gt;"Wahl")*(Deckblatt!$C$14='WK-Vorlagen'!$C$82))+(Deckblatt!$C$14&lt;&gt;'WK-Vorlagen'!$C$82),"",IF(ISERROR(MATCH(VALUE(MID(I772,1,2)),Schwierigkeitsstufen!$G$7:$G$19,0)),"Gerät falsch",LOOKUP(VALUE(MID(I772,1,2)),Schwierigkeitsstufen!$G$7:$G$19,Schwierigkeitsstufen!$H$7:$H$19)))</f>
        <v/>
      </c>
      <c r="AD772" s="251" t="str">
        <f>IF((($A772="")*($B772=""))+((MID($Y772,1,4)&lt;&gt;"Wahl")*(Deckblatt!$C$14='WK-Vorlagen'!$C$82))+(Deckblatt!$C$14&lt;&gt;'WK-Vorlagen'!$C$82),"",IF(ISERROR(MATCH(VALUE(MID(J772,1,2)),Schwierigkeitsstufen!$G$7:$G$19,0)),"Gerät falsch",LOOKUP(VALUE(MID(J772,1,2)),Schwierigkeitsstufen!$G$7:$G$19,Schwierigkeitsstufen!$H$7:$H$19)))</f>
        <v/>
      </c>
      <c r="AE772" s="211"/>
      <c r="AG772" s="221" t="str">
        <f t="shared" ref="AG772:AG835" si="108">IF((C772&lt;&gt;0),IF(((Jahr-U772)&gt;19)*(AJ772=0)*(AK772&lt;&gt;1),"X",IF(((Jahr-U772)&gt;19)*(AJ772=0),"J","-")),"")</f>
        <v/>
      </c>
      <c r="AH772" s="222" t="str">
        <f t="shared" si="101"/>
        <v/>
      </c>
      <c r="AI772" s="220">
        <f t="shared" si="106"/>
        <v>4</v>
      </c>
      <c r="AJ772" s="222">
        <f t="shared" si="102"/>
        <v>0</v>
      </c>
      <c r="AK772" s="299" t="str">
        <f>IF(ISERROR(LOOKUP(E772,WKNrListe,Übersicht!$R$7:$R$46)),"-",LOOKUP(E772,WKNrListe,Übersicht!$R$7:$R$46))</f>
        <v>-</v>
      </c>
      <c r="AL772" s="299" t="str">
        <f t="shared" si="105"/>
        <v>-</v>
      </c>
      <c r="AM772" s="303"/>
      <c r="AN772" s="174" t="str">
        <f t="shared" si="107"/>
        <v>Leer</v>
      </c>
    </row>
    <row r="773" spans="1:40" s="174" customFormat="1" ht="15" customHeight="1">
      <c r="A773" s="63"/>
      <c r="B773" s="63"/>
      <c r="C773" s="84"/>
      <c r="D773" s="85"/>
      <c r="E773" s="62"/>
      <c r="F773" s="62"/>
      <c r="G773" s="62"/>
      <c r="H773" s="62"/>
      <c r="I773" s="62"/>
      <c r="J773" s="62"/>
      <c r="K773" s="62"/>
      <c r="L773" s="62"/>
      <c r="M773" s="62"/>
      <c r="N773" s="62"/>
      <c r="O773" s="62"/>
      <c r="P773" s="62"/>
      <c r="Q773" s="62"/>
      <c r="R773" s="62"/>
      <c r="S773" s="258"/>
      <c r="T773" s="248" t="str">
        <f t="shared" si="103"/>
        <v/>
      </c>
      <c r="U773" s="249" t="str">
        <f t="shared" si="104"/>
        <v/>
      </c>
      <c r="V773" s="294" t="str">
        <f t="shared" ref="V773:V836" si="109">IF(((AK773="-")*(F773=""))+((AK773=1)*(F773&lt;&gt;""))+(Y773="WK falsch"),"",IF((AK773=1)*(F773=""),"Mannsch-Nr fehlt","Mannsch-Nr entf"))</f>
        <v/>
      </c>
      <c r="W773" s="294" t="str">
        <f>IF(((E773="")+(F773="")),"",IF(VLOOKUP(F773,Mannschaften!$A$1:$B$54,2,FALSE)&lt;&gt;E773,"Reiter Mannschaften füllen",""))</f>
        <v/>
      </c>
      <c r="X773" s="248" t="str">
        <f>IF(ISBLANK(C773),"",IF((U773&gt;(LOOKUP(E773,WKNrListe,Übersicht!$O$7:$O$46)))+(U773&lt;(LOOKUP(E773,WKNrListe,Übersicht!$P$7:$P$46))),"JG falsch",""))</f>
        <v/>
      </c>
      <c r="Y773" s="255" t="str">
        <f>IF((A773="")*(B773=""),"",IF(ISERROR(MATCH(E773,WKNrListe,0)),"WK falsch",LOOKUP(E773,WKNrListe,Übersicht!$B$7:$B$46)))</f>
        <v/>
      </c>
      <c r="Z773" s="269" t="str">
        <f>IF(((AJ773=0)*(AH773&lt;&gt;"")*(AK773="-"))+((AJ773&lt;&gt;0)*(AH773&lt;&gt;"")*(AK773="-")),IF(AG773="X",Übersicht!$C$70,Übersicht!$C$69),"-")</f>
        <v>-</v>
      </c>
      <c r="AA773" s="252" t="str">
        <f>IF((($A773="")*($B773=""))+((MID($Y773,1,4)&lt;&gt;"Wahl")*(Deckblatt!$C$14='WK-Vorlagen'!$C$82))+(Deckblatt!$C$14&lt;&gt;'WK-Vorlagen'!$C$82),"",IF(ISERROR(MATCH(VALUE(MID(G773,1,2)),Schwierigkeitsstufen!$G$7:$G$19,0)),"Gerät falsch",LOOKUP(VALUE(MID(G773,1,2)),Schwierigkeitsstufen!$G$7:$G$19,Schwierigkeitsstufen!$H$7:$H$19)))</f>
        <v/>
      </c>
      <c r="AB773" s="250" t="str">
        <f>IF((($A773="")*($B773=""))+((MID($Y773,1,4)&lt;&gt;"Wahl")*(Deckblatt!$C$14='WK-Vorlagen'!$C$82))+(Deckblatt!$C$14&lt;&gt;'WK-Vorlagen'!$C$82),"",IF(ISERROR(MATCH(VALUE(MID(H773,1,2)),Schwierigkeitsstufen!$G$7:$G$19,0)),"Gerät falsch",LOOKUP(VALUE(MID(H773,1,2)),Schwierigkeitsstufen!$G$7:$G$19,Schwierigkeitsstufen!$H$7:$H$19)))</f>
        <v/>
      </c>
      <c r="AC773" s="250" t="str">
        <f>IF((($A773="")*($B773=""))+((MID($Y773,1,4)&lt;&gt;"Wahl")*(Deckblatt!$C$14='WK-Vorlagen'!$C$82))+(Deckblatt!$C$14&lt;&gt;'WK-Vorlagen'!$C$82),"",IF(ISERROR(MATCH(VALUE(MID(I773,1,2)),Schwierigkeitsstufen!$G$7:$G$19,0)),"Gerät falsch",LOOKUP(VALUE(MID(I773,1,2)),Schwierigkeitsstufen!$G$7:$G$19,Schwierigkeitsstufen!$H$7:$H$19)))</f>
        <v/>
      </c>
      <c r="AD773" s="251" t="str">
        <f>IF((($A773="")*($B773=""))+((MID($Y773,1,4)&lt;&gt;"Wahl")*(Deckblatt!$C$14='WK-Vorlagen'!$C$82))+(Deckblatt!$C$14&lt;&gt;'WK-Vorlagen'!$C$82),"",IF(ISERROR(MATCH(VALUE(MID(J773,1,2)),Schwierigkeitsstufen!$G$7:$G$19,0)),"Gerät falsch",LOOKUP(VALUE(MID(J773,1,2)),Schwierigkeitsstufen!$G$7:$G$19,Schwierigkeitsstufen!$H$7:$H$19)))</f>
        <v/>
      </c>
      <c r="AE773" s="211"/>
      <c r="AG773" s="221" t="str">
        <f t="shared" si="108"/>
        <v/>
      </c>
      <c r="AH773" s="222" t="str">
        <f t="shared" ref="AH773:AH836" si="110">CONCATENATE(TRIM(A773),TRIM(B773),TRIM(C773))</f>
        <v/>
      </c>
      <c r="AI773" s="220">
        <f t="shared" si="106"/>
        <v>4</v>
      </c>
      <c r="AJ773" s="222">
        <f t="shared" ref="AJ773:AJ836" si="111">IF(AH773="",0,IF(ROW(AH773)=AI773,0,AI773))</f>
        <v>0</v>
      </c>
      <c r="AK773" s="299" t="str">
        <f>IF(ISERROR(LOOKUP(E773,WKNrListe,Übersicht!$R$7:$R$46)),"-",LOOKUP(E773,WKNrListe,Übersicht!$R$7:$R$46))</f>
        <v>-</v>
      </c>
      <c r="AL773" s="299" t="str">
        <f t="shared" si="105"/>
        <v>-</v>
      </c>
      <c r="AM773" s="303"/>
      <c r="AN773" s="174" t="str">
        <f t="shared" si="107"/>
        <v>Leer</v>
      </c>
    </row>
    <row r="774" spans="1:40" s="174" customFormat="1" ht="15" customHeight="1">
      <c r="A774" s="63"/>
      <c r="B774" s="63"/>
      <c r="C774" s="84"/>
      <c r="D774" s="85"/>
      <c r="E774" s="62"/>
      <c r="F774" s="62"/>
      <c r="G774" s="62"/>
      <c r="H774" s="62"/>
      <c r="I774" s="62"/>
      <c r="J774" s="62"/>
      <c r="K774" s="62"/>
      <c r="L774" s="62"/>
      <c r="M774" s="62"/>
      <c r="N774" s="62"/>
      <c r="O774" s="62"/>
      <c r="P774" s="62"/>
      <c r="Q774" s="62"/>
      <c r="R774" s="62"/>
      <c r="S774" s="258"/>
      <c r="T774" s="248" t="str">
        <f t="shared" ref="T774:T837" si="112">IF(AND(OR(ISTEXT(A774),ISTEXT(B774),NOT(ISBLANK(C774)),NOT(ISBLANK(D774)),NOT(ISBLANK(E774))),OR(ISBLANK(A774),ISBLANK(B774),ISBLANK(C774),ISBLANK(E774))),"unvollständig","")</f>
        <v/>
      </c>
      <c r="U774" s="249" t="str">
        <f t="shared" ref="U774:U837" si="113">IF(ISBLANK(C774),"",YEAR(C774))</f>
        <v/>
      </c>
      <c r="V774" s="294" t="str">
        <f t="shared" si="109"/>
        <v/>
      </c>
      <c r="W774" s="294" t="str">
        <f>IF(((E774="")+(F774="")),"",IF(VLOOKUP(F774,Mannschaften!$A$1:$B$54,2,FALSE)&lt;&gt;E774,"Reiter Mannschaften füllen",""))</f>
        <v/>
      </c>
      <c r="X774" s="248" t="str">
        <f>IF(ISBLANK(C774),"",IF((U774&gt;(LOOKUP(E774,WKNrListe,Übersicht!$O$7:$O$46)))+(U774&lt;(LOOKUP(E774,WKNrListe,Übersicht!$P$7:$P$46))),"JG falsch",""))</f>
        <v/>
      </c>
      <c r="Y774" s="255" t="str">
        <f>IF((A774="")*(B774=""),"",IF(ISERROR(MATCH(E774,WKNrListe,0)),"WK falsch",LOOKUP(E774,WKNrListe,Übersicht!$B$7:$B$46)))</f>
        <v/>
      </c>
      <c r="Z774" s="269" t="str">
        <f>IF(((AJ774=0)*(AH774&lt;&gt;"")*(AK774="-"))+((AJ774&lt;&gt;0)*(AH774&lt;&gt;"")*(AK774="-")),IF(AG774="X",Übersicht!$C$70,Übersicht!$C$69),"-")</f>
        <v>-</v>
      </c>
      <c r="AA774" s="252" t="str">
        <f>IF((($A774="")*($B774=""))+((MID($Y774,1,4)&lt;&gt;"Wahl")*(Deckblatt!$C$14='WK-Vorlagen'!$C$82))+(Deckblatt!$C$14&lt;&gt;'WK-Vorlagen'!$C$82),"",IF(ISERROR(MATCH(VALUE(MID(G774,1,2)),Schwierigkeitsstufen!$G$7:$G$19,0)),"Gerät falsch",LOOKUP(VALUE(MID(G774,1,2)),Schwierigkeitsstufen!$G$7:$G$19,Schwierigkeitsstufen!$H$7:$H$19)))</f>
        <v/>
      </c>
      <c r="AB774" s="250" t="str">
        <f>IF((($A774="")*($B774=""))+((MID($Y774,1,4)&lt;&gt;"Wahl")*(Deckblatt!$C$14='WK-Vorlagen'!$C$82))+(Deckblatt!$C$14&lt;&gt;'WK-Vorlagen'!$C$82),"",IF(ISERROR(MATCH(VALUE(MID(H774,1,2)),Schwierigkeitsstufen!$G$7:$G$19,0)),"Gerät falsch",LOOKUP(VALUE(MID(H774,1,2)),Schwierigkeitsstufen!$G$7:$G$19,Schwierigkeitsstufen!$H$7:$H$19)))</f>
        <v/>
      </c>
      <c r="AC774" s="250" t="str">
        <f>IF((($A774="")*($B774=""))+((MID($Y774,1,4)&lt;&gt;"Wahl")*(Deckblatt!$C$14='WK-Vorlagen'!$C$82))+(Deckblatt!$C$14&lt;&gt;'WK-Vorlagen'!$C$82),"",IF(ISERROR(MATCH(VALUE(MID(I774,1,2)),Schwierigkeitsstufen!$G$7:$G$19,0)),"Gerät falsch",LOOKUP(VALUE(MID(I774,1,2)),Schwierigkeitsstufen!$G$7:$G$19,Schwierigkeitsstufen!$H$7:$H$19)))</f>
        <v/>
      </c>
      <c r="AD774" s="251" t="str">
        <f>IF((($A774="")*($B774=""))+((MID($Y774,1,4)&lt;&gt;"Wahl")*(Deckblatt!$C$14='WK-Vorlagen'!$C$82))+(Deckblatt!$C$14&lt;&gt;'WK-Vorlagen'!$C$82),"",IF(ISERROR(MATCH(VALUE(MID(J774,1,2)),Schwierigkeitsstufen!$G$7:$G$19,0)),"Gerät falsch",LOOKUP(VALUE(MID(J774,1,2)),Schwierigkeitsstufen!$G$7:$G$19,Schwierigkeitsstufen!$H$7:$H$19)))</f>
        <v/>
      </c>
      <c r="AE774" s="211"/>
      <c r="AG774" s="221" t="str">
        <f t="shared" si="108"/>
        <v/>
      </c>
      <c r="AH774" s="222" t="str">
        <f t="shared" si="110"/>
        <v/>
      </c>
      <c r="AI774" s="220">
        <f t="shared" si="106"/>
        <v>4</v>
      </c>
      <c r="AJ774" s="222">
        <f t="shared" si="111"/>
        <v>0</v>
      </c>
      <c r="AK774" s="299" t="str">
        <f>IF(ISERROR(LOOKUP(E774,WKNrListe,Übersicht!$R$7:$R$46)),"-",LOOKUP(E774,WKNrListe,Übersicht!$R$7:$R$46))</f>
        <v>-</v>
      </c>
      <c r="AL774" s="299" t="str">
        <f t="shared" ref="AL774:AL837" si="114">IF(E774="","-",E774)</f>
        <v>-</v>
      </c>
      <c r="AM774" s="303"/>
      <c r="AN774" s="174" t="str">
        <f t="shared" si="107"/>
        <v>Leer</v>
      </c>
    </row>
    <row r="775" spans="1:40" s="174" customFormat="1" ht="15" customHeight="1">
      <c r="A775" s="63"/>
      <c r="B775" s="63"/>
      <c r="C775" s="84"/>
      <c r="D775" s="85"/>
      <c r="E775" s="62"/>
      <c r="F775" s="62"/>
      <c r="G775" s="62"/>
      <c r="H775" s="62"/>
      <c r="I775" s="62"/>
      <c r="J775" s="62"/>
      <c r="K775" s="62"/>
      <c r="L775" s="62"/>
      <c r="M775" s="62"/>
      <c r="N775" s="62"/>
      <c r="O775" s="62"/>
      <c r="P775" s="62"/>
      <c r="Q775" s="62"/>
      <c r="R775" s="62"/>
      <c r="S775" s="258"/>
      <c r="T775" s="248" t="str">
        <f t="shared" si="112"/>
        <v/>
      </c>
      <c r="U775" s="249" t="str">
        <f t="shared" si="113"/>
        <v/>
      </c>
      <c r="V775" s="294" t="str">
        <f t="shared" si="109"/>
        <v/>
      </c>
      <c r="W775" s="294" t="str">
        <f>IF(((E775="")+(F775="")),"",IF(VLOOKUP(F775,Mannschaften!$A$1:$B$54,2,FALSE)&lt;&gt;E775,"Reiter Mannschaften füllen",""))</f>
        <v/>
      </c>
      <c r="X775" s="248" t="str">
        <f>IF(ISBLANK(C775),"",IF((U775&gt;(LOOKUP(E775,WKNrListe,Übersicht!$O$7:$O$46)))+(U775&lt;(LOOKUP(E775,WKNrListe,Übersicht!$P$7:$P$46))),"JG falsch",""))</f>
        <v/>
      </c>
      <c r="Y775" s="255" t="str">
        <f>IF((A775="")*(B775=""),"",IF(ISERROR(MATCH(E775,WKNrListe,0)),"WK falsch",LOOKUP(E775,WKNrListe,Übersicht!$B$7:$B$46)))</f>
        <v/>
      </c>
      <c r="Z775" s="269" t="str">
        <f>IF(((AJ775=0)*(AH775&lt;&gt;"")*(AK775="-"))+((AJ775&lt;&gt;0)*(AH775&lt;&gt;"")*(AK775="-")),IF(AG775="X",Übersicht!$C$70,Übersicht!$C$69),"-")</f>
        <v>-</v>
      </c>
      <c r="AA775" s="252" t="str">
        <f>IF((($A775="")*($B775=""))+((MID($Y775,1,4)&lt;&gt;"Wahl")*(Deckblatt!$C$14='WK-Vorlagen'!$C$82))+(Deckblatt!$C$14&lt;&gt;'WK-Vorlagen'!$C$82),"",IF(ISERROR(MATCH(VALUE(MID(G775,1,2)),Schwierigkeitsstufen!$G$7:$G$19,0)),"Gerät falsch",LOOKUP(VALUE(MID(G775,1,2)),Schwierigkeitsstufen!$G$7:$G$19,Schwierigkeitsstufen!$H$7:$H$19)))</f>
        <v/>
      </c>
      <c r="AB775" s="250" t="str">
        <f>IF((($A775="")*($B775=""))+((MID($Y775,1,4)&lt;&gt;"Wahl")*(Deckblatt!$C$14='WK-Vorlagen'!$C$82))+(Deckblatt!$C$14&lt;&gt;'WK-Vorlagen'!$C$82),"",IF(ISERROR(MATCH(VALUE(MID(H775,1,2)),Schwierigkeitsstufen!$G$7:$G$19,0)),"Gerät falsch",LOOKUP(VALUE(MID(H775,1,2)),Schwierigkeitsstufen!$G$7:$G$19,Schwierigkeitsstufen!$H$7:$H$19)))</f>
        <v/>
      </c>
      <c r="AC775" s="250" t="str">
        <f>IF((($A775="")*($B775=""))+((MID($Y775,1,4)&lt;&gt;"Wahl")*(Deckblatt!$C$14='WK-Vorlagen'!$C$82))+(Deckblatt!$C$14&lt;&gt;'WK-Vorlagen'!$C$82),"",IF(ISERROR(MATCH(VALUE(MID(I775,1,2)),Schwierigkeitsstufen!$G$7:$G$19,0)),"Gerät falsch",LOOKUP(VALUE(MID(I775,1,2)),Schwierigkeitsstufen!$G$7:$G$19,Schwierigkeitsstufen!$H$7:$H$19)))</f>
        <v/>
      </c>
      <c r="AD775" s="251" t="str">
        <f>IF((($A775="")*($B775=""))+((MID($Y775,1,4)&lt;&gt;"Wahl")*(Deckblatt!$C$14='WK-Vorlagen'!$C$82))+(Deckblatt!$C$14&lt;&gt;'WK-Vorlagen'!$C$82),"",IF(ISERROR(MATCH(VALUE(MID(J775,1,2)),Schwierigkeitsstufen!$G$7:$G$19,0)),"Gerät falsch",LOOKUP(VALUE(MID(J775,1,2)),Schwierigkeitsstufen!$G$7:$G$19,Schwierigkeitsstufen!$H$7:$H$19)))</f>
        <v/>
      </c>
      <c r="AE775" s="211"/>
      <c r="AG775" s="221" t="str">
        <f t="shared" si="108"/>
        <v/>
      </c>
      <c r="AH775" s="222" t="str">
        <f t="shared" si="110"/>
        <v/>
      </c>
      <c r="AI775" s="220">
        <f t="shared" ref="AI775:AI838" si="115">MATCH(AH775,AH:AH,0)</f>
        <v>4</v>
      </c>
      <c r="AJ775" s="222">
        <f t="shared" si="111"/>
        <v>0</v>
      </c>
      <c r="AK775" s="299" t="str">
        <f>IF(ISERROR(LOOKUP(E775,WKNrListe,Übersicht!$R$7:$R$46)),"-",LOOKUP(E775,WKNrListe,Übersicht!$R$7:$R$46))</f>
        <v>-</v>
      </c>
      <c r="AL775" s="299" t="str">
        <f t="shared" si="114"/>
        <v>-</v>
      </c>
      <c r="AM775" s="303"/>
      <c r="AN775" s="174" t="str">
        <f t="shared" si="107"/>
        <v>Leer</v>
      </c>
    </row>
    <row r="776" spans="1:40" s="174" customFormat="1" ht="15" customHeight="1">
      <c r="A776" s="63"/>
      <c r="B776" s="63"/>
      <c r="C776" s="84"/>
      <c r="D776" s="85"/>
      <c r="E776" s="62"/>
      <c r="F776" s="62"/>
      <c r="G776" s="62"/>
      <c r="H776" s="62"/>
      <c r="I776" s="62"/>
      <c r="J776" s="62"/>
      <c r="K776" s="62"/>
      <c r="L776" s="62"/>
      <c r="M776" s="62"/>
      <c r="N776" s="62"/>
      <c r="O776" s="62"/>
      <c r="P776" s="62"/>
      <c r="Q776" s="62"/>
      <c r="R776" s="62"/>
      <c r="S776" s="258"/>
      <c r="T776" s="248" t="str">
        <f t="shared" si="112"/>
        <v/>
      </c>
      <c r="U776" s="249" t="str">
        <f t="shared" si="113"/>
        <v/>
      </c>
      <c r="V776" s="294" t="str">
        <f t="shared" si="109"/>
        <v/>
      </c>
      <c r="W776" s="294" t="str">
        <f>IF(((E776="")+(F776="")),"",IF(VLOOKUP(F776,Mannschaften!$A$1:$B$54,2,FALSE)&lt;&gt;E776,"Reiter Mannschaften füllen",""))</f>
        <v/>
      </c>
      <c r="X776" s="248" t="str">
        <f>IF(ISBLANK(C776),"",IF((U776&gt;(LOOKUP(E776,WKNrListe,Übersicht!$O$7:$O$46)))+(U776&lt;(LOOKUP(E776,WKNrListe,Übersicht!$P$7:$P$46))),"JG falsch",""))</f>
        <v/>
      </c>
      <c r="Y776" s="255" t="str">
        <f>IF((A776="")*(B776=""),"",IF(ISERROR(MATCH(E776,WKNrListe,0)),"WK falsch",LOOKUP(E776,WKNrListe,Übersicht!$B$7:$B$46)))</f>
        <v/>
      </c>
      <c r="Z776" s="269" t="str">
        <f>IF(((AJ776=0)*(AH776&lt;&gt;"")*(AK776="-"))+((AJ776&lt;&gt;0)*(AH776&lt;&gt;"")*(AK776="-")),IF(AG776="X",Übersicht!$C$70,Übersicht!$C$69),"-")</f>
        <v>-</v>
      </c>
      <c r="AA776" s="252" t="str">
        <f>IF((($A776="")*($B776=""))+((MID($Y776,1,4)&lt;&gt;"Wahl")*(Deckblatt!$C$14='WK-Vorlagen'!$C$82))+(Deckblatt!$C$14&lt;&gt;'WK-Vorlagen'!$C$82),"",IF(ISERROR(MATCH(VALUE(MID(G776,1,2)),Schwierigkeitsstufen!$G$7:$G$19,0)),"Gerät falsch",LOOKUP(VALUE(MID(G776,1,2)),Schwierigkeitsstufen!$G$7:$G$19,Schwierigkeitsstufen!$H$7:$H$19)))</f>
        <v/>
      </c>
      <c r="AB776" s="250" t="str">
        <f>IF((($A776="")*($B776=""))+((MID($Y776,1,4)&lt;&gt;"Wahl")*(Deckblatt!$C$14='WK-Vorlagen'!$C$82))+(Deckblatt!$C$14&lt;&gt;'WK-Vorlagen'!$C$82),"",IF(ISERROR(MATCH(VALUE(MID(H776,1,2)),Schwierigkeitsstufen!$G$7:$G$19,0)),"Gerät falsch",LOOKUP(VALUE(MID(H776,1,2)),Schwierigkeitsstufen!$G$7:$G$19,Schwierigkeitsstufen!$H$7:$H$19)))</f>
        <v/>
      </c>
      <c r="AC776" s="250" t="str">
        <f>IF((($A776="")*($B776=""))+((MID($Y776,1,4)&lt;&gt;"Wahl")*(Deckblatt!$C$14='WK-Vorlagen'!$C$82))+(Deckblatt!$C$14&lt;&gt;'WK-Vorlagen'!$C$82),"",IF(ISERROR(MATCH(VALUE(MID(I776,1,2)),Schwierigkeitsstufen!$G$7:$G$19,0)),"Gerät falsch",LOOKUP(VALUE(MID(I776,1,2)),Schwierigkeitsstufen!$G$7:$G$19,Schwierigkeitsstufen!$H$7:$H$19)))</f>
        <v/>
      </c>
      <c r="AD776" s="251" t="str">
        <f>IF((($A776="")*($B776=""))+((MID($Y776,1,4)&lt;&gt;"Wahl")*(Deckblatt!$C$14='WK-Vorlagen'!$C$82))+(Deckblatt!$C$14&lt;&gt;'WK-Vorlagen'!$C$82),"",IF(ISERROR(MATCH(VALUE(MID(J776,1,2)),Schwierigkeitsstufen!$G$7:$G$19,0)),"Gerät falsch",LOOKUP(VALUE(MID(J776,1,2)),Schwierigkeitsstufen!$G$7:$G$19,Schwierigkeitsstufen!$H$7:$H$19)))</f>
        <v/>
      </c>
      <c r="AE776" s="211"/>
      <c r="AG776" s="221" t="str">
        <f t="shared" si="108"/>
        <v/>
      </c>
      <c r="AH776" s="222" t="str">
        <f t="shared" si="110"/>
        <v/>
      </c>
      <c r="AI776" s="220">
        <f t="shared" si="115"/>
        <v>4</v>
      </c>
      <c r="AJ776" s="222">
        <f t="shared" si="111"/>
        <v>0</v>
      </c>
      <c r="AK776" s="299" t="str">
        <f>IF(ISERROR(LOOKUP(E776,WKNrListe,Übersicht!$R$7:$R$46)),"-",LOOKUP(E776,WKNrListe,Übersicht!$R$7:$R$46))</f>
        <v>-</v>
      </c>
      <c r="AL776" s="299" t="str">
        <f t="shared" si="114"/>
        <v>-</v>
      </c>
      <c r="AM776" s="303"/>
      <c r="AN776" s="174" t="str">
        <f t="shared" si="107"/>
        <v>Leer</v>
      </c>
    </row>
    <row r="777" spans="1:40" s="174" customFormat="1" ht="15" customHeight="1">
      <c r="A777" s="63"/>
      <c r="B777" s="63"/>
      <c r="C777" s="84"/>
      <c r="D777" s="85"/>
      <c r="E777" s="62"/>
      <c r="F777" s="62"/>
      <c r="G777" s="62"/>
      <c r="H777" s="62"/>
      <c r="I777" s="62"/>
      <c r="J777" s="62"/>
      <c r="K777" s="62"/>
      <c r="L777" s="62"/>
      <c r="M777" s="62"/>
      <c r="N777" s="62"/>
      <c r="O777" s="62"/>
      <c r="P777" s="62"/>
      <c r="Q777" s="62"/>
      <c r="R777" s="62"/>
      <c r="S777" s="258"/>
      <c r="T777" s="248" t="str">
        <f t="shared" si="112"/>
        <v/>
      </c>
      <c r="U777" s="249" t="str">
        <f t="shared" si="113"/>
        <v/>
      </c>
      <c r="V777" s="294" t="str">
        <f t="shared" si="109"/>
        <v/>
      </c>
      <c r="W777" s="294" t="str">
        <f>IF(((E777="")+(F777="")),"",IF(VLOOKUP(F777,Mannschaften!$A$1:$B$54,2,FALSE)&lt;&gt;E777,"Reiter Mannschaften füllen",""))</f>
        <v/>
      </c>
      <c r="X777" s="248" t="str">
        <f>IF(ISBLANK(C777),"",IF((U777&gt;(LOOKUP(E777,WKNrListe,Übersicht!$O$7:$O$46)))+(U777&lt;(LOOKUP(E777,WKNrListe,Übersicht!$P$7:$P$46))),"JG falsch",""))</f>
        <v/>
      </c>
      <c r="Y777" s="255" t="str">
        <f>IF((A777="")*(B777=""),"",IF(ISERROR(MATCH(E777,WKNrListe,0)),"WK falsch",LOOKUP(E777,WKNrListe,Übersicht!$B$7:$B$46)))</f>
        <v/>
      </c>
      <c r="Z777" s="269" t="str">
        <f>IF(((AJ777=0)*(AH777&lt;&gt;"")*(AK777="-"))+((AJ777&lt;&gt;0)*(AH777&lt;&gt;"")*(AK777="-")),IF(AG777="X",Übersicht!$C$70,Übersicht!$C$69),"-")</f>
        <v>-</v>
      </c>
      <c r="AA777" s="252" t="str">
        <f>IF((($A777="")*($B777=""))+((MID($Y777,1,4)&lt;&gt;"Wahl")*(Deckblatt!$C$14='WK-Vorlagen'!$C$82))+(Deckblatt!$C$14&lt;&gt;'WK-Vorlagen'!$C$82),"",IF(ISERROR(MATCH(VALUE(MID(G777,1,2)),Schwierigkeitsstufen!$G$7:$G$19,0)),"Gerät falsch",LOOKUP(VALUE(MID(G777,1,2)),Schwierigkeitsstufen!$G$7:$G$19,Schwierigkeitsstufen!$H$7:$H$19)))</f>
        <v/>
      </c>
      <c r="AB777" s="250" t="str">
        <f>IF((($A777="")*($B777=""))+((MID($Y777,1,4)&lt;&gt;"Wahl")*(Deckblatt!$C$14='WK-Vorlagen'!$C$82))+(Deckblatt!$C$14&lt;&gt;'WK-Vorlagen'!$C$82),"",IF(ISERROR(MATCH(VALUE(MID(H777,1,2)),Schwierigkeitsstufen!$G$7:$G$19,0)),"Gerät falsch",LOOKUP(VALUE(MID(H777,1,2)),Schwierigkeitsstufen!$G$7:$G$19,Schwierigkeitsstufen!$H$7:$H$19)))</f>
        <v/>
      </c>
      <c r="AC777" s="250" t="str">
        <f>IF((($A777="")*($B777=""))+((MID($Y777,1,4)&lt;&gt;"Wahl")*(Deckblatt!$C$14='WK-Vorlagen'!$C$82))+(Deckblatt!$C$14&lt;&gt;'WK-Vorlagen'!$C$82),"",IF(ISERROR(MATCH(VALUE(MID(I777,1,2)),Schwierigkeitsstufen!$G$7:$G$19,0)),"Gerät falsch",LOOKUP(VALUE(MID(I777,1,2)),Schwierigkeitsstufen!$G$7:$G$19,Schwierigkeitsstufen!$H$7:$H$19)))</f>
        <v/>
      </c>
      <c r="AD777" s="251" t="str">
        <f>IF((($A777="")*($B777=""))+((MID($Y777,1,4)&lt;&gt;"Wahl")*(Deckblatt!$C$14='WK-Vorlagen'!$C$82))+(Deckblatt!$C$14&lt;&gt;'WK-Vorlagen'!$C$82),"",IF(ISERROR(MATCH(VALUE(MID(J777,1,2)),Schwierigkeitsstufen!$G$7:$G$19,0)),"Gerät falsch",LOOKUP(VALUE(MID(J777,1,2)),Schwierigkeitsstufen!$G$7:$G$19,Schwierigkeitsstufen!$H$7:$H$19)))</f>
        <v/>
      </c>
      <c r="AE777" s="211"/>
      <c r="AG777" s="221" t="str">
        <f t="shared" si="108"/>
        <v/>
      </c>
      <c r="AH777" s="222" t="str">
        <f t="shared" si="110"/>
        <v/>
      </c>
      <c r="AI777" s="220">
        <f t="shared" si="115"/>
        <v>4</v>
      </c>
      <c r="AJ777" s="222">
        <f t="shared" si="111"/>
        <v>0</v>
      </c>
      <c r="AK777" s="299" t="str">
        <f>IF(ISERROR(LOOKUP(E777,WKNrListe,Übersicht!$R$7:$R$46)),"-",LOOKUP(E777,WKNrListe,Übersicht!$R$7:$R$46))</f>
        <v>-</v>
      </c>
      <c r="AL777" s="299" t="str">
        <f t="shared" si="114"/>
        <v>-</v>
      </c>
      <c r="AM777" s="303"/>
      <c r="AN777" s="174" t="str">
        <f t="shared" si="107"/>
        <v>Leer</v>
      </c>
    </row>
    <row r="778" spans="1:40" s="174" customFormat="1" ht="15" customHeight="1">
      <c r="A778" s="63"/>
      <c r="B778" s="63"/>
      <c r="C778" s="84"/>
      <c r="D778" s="85"/>
      <c r="E778" s="62"/>
      <c r="F778" s="62"/>
      <c r="G778" s="62"/>
      <c r="H778" s="62"/>
      <c r="I778" s="62"/>
      <c r="J778" s="62"/>
      <c r="K778" s="62"/>
      <c r="L778" s="62"/>
      <c r="M778" s="62"/>
      <c r="N778" s="62"/>
      <c r="O778" s="62"/>
      <c r="P778" s="62"/>
      <c r="Q778" s="62"/>
      <c r="R778" s="62"/>
      <c r="S778" s="258"/>
      <c r="T778" s="248" t="str">
        <f t="shared" si="112"/>
        <v/>
      </c>
      <c r="U778" s="249" t="str">
        <f t="shared" si="113"/>
        <v/>
      </c>
      <c r="V778" s="294" t="str">
        <f t="shared" si="109"/>
        <v/>
      </c>
      <c r="W778" s="294" t="str">
        <f>IF(((E778="")+(F778="")),"",IF(VLOOKUP(F778,Mannschaften!$A$1:$B$54,2,FALSE)&lt;&gt;E778,"Reiter Mannschaften füllen",""))</f>
        <v/>
      </c>
      <c r="X778" s="248" t="str">
        <f>IF(ISBLANK(C778),"",IF((U778&gt;(LOOKUP(E778,WKNrListe,Übersicht!$O$7:$O$46)))+(U778&lt;(LOOKUP(E778,WKNrListe,Übersicht!$P$7:$P$46))),"JG falsch",""))</f>
        <v/>
      </c>
      <c r="Y778" s="255" t="str">
        <f>IF((A778="")*(B778=""),"",IF(ISERROR(MATCH(E778,WKNrListe,0)),"WK falsch",LOOKUP(E778,WKNrListe,Übersicht!$B$7:$B$46)))</f>
        <v/>
      </c>
      <c r="Z778" s="269" t="str">
        <f>IF(((AJ778=0)*(AH778&lt;&gt;"")*(AK778="-"))+((AJ778&lt;&gt;0)*(AH778&lt;&gt;"")*(AK778="-")),IF(AG778="X",Übersicht!$C$70,Übersicht!$C$69),"-")</f>
        <v>-</v>
      </c>
      <c r="AA778" s="252" t="str">
        <f>IF((($A778="")*($B778=""))+((MID($Y778,1,4)&lt;&gt;"Wahl")*(Deckblatt!$C$14='WK-Vorlagen'!$C$82))+(Deckblatt!$C$14&lt;&gt;'WK-Vorlagen'!$C$82),"",IF(ISERROR(MATCH(VALUE(MID(G778,1,2)),Schwierigkeitsstufen!$G$7:$G$19,0)),"Gerät falsch",LOOKUP(VALUE(MID(G778,1,2)),Schwierigkeitsstufen!$G$7:$G$19,Schwierigkeitsstufen!$H$7:$H$19)))</f>
        <v/>
      </c>
      <c r="AB778" s="250" t="str">
        <f>IF((($A778="")*($B778=""))+((MID($Y778,1,4)&lt;&gt;"Wahl")*(Deckblatt!$C$14='WK-Vorlagen'!$C$82))+(Deckblatt!$C$14&lt;&gt;'WK-Vorlagen'!$C$82),"",IF(ISERROR(MATCH(VALUE(MID(H778,1,2)),Schwierigkeitsstufen!$G$7:$G$19,0)),"Gerät falsch",LOOKUP(VALUE(MID(H778,1,2)),Schwierigkeitsstufen!$G$7:$G$19,Schwierigkeitsstufen!$H$7:$H$19)))</f>
        <v/>
      </c>
      <c r="AC778" s="250" t="str">
        <f>IF((($A778="")*($B778=""))+((MID($Y778,1,4)&lt;&gt;"Wahl")*(Deckblatt!$C$14='WK-Vorlagen'!$C$82))+(Deckblatt!$C$14&lt;&gt;'WK-Vorlagen'!$C$82),"",IF(ISERROR(MATCH(VALUE(MID(I778,1,2)),Schwierigkeitsstufen!$G$7:$G$19,0)),"Gerät falsch",LOOKUP(VALUE(MID(I778,1,2)),Schwierigkeitsstufen!$G$7:$G$19,Schwierigkeitsstufen!$H$7:$H$19)))</f>
        <v/>
      </c>
      <c r="AD778" s="251" t="str">
        <f>IF((($A778="")*($B778=""))+((MID($Y778,1,4)&lt;&gt;"Wahl")*(Deckblatt!$C$14='WK-Vorlagen'!$C$82))+(Deckblatt!$C$14&lt;&gt;'WK-Vorlagen'!$C$82),"",IF(ISERROR(MATCH(VALUE(MID(J778,1,2)),Schwierigkeitsstufen!$G$7:$G$19,0)),"Gerät falsch",LOOKUP(VALUE(MID(J778,1,2)),Schwierigkeitsstufen!$G$7:$G$19,Schwierigkeitsstufen!$H$7:$H$19)))</f>
        <v/>
      </c>
      <c r="AE778" s="211"/>
      <c r="AG778" s="221" t="str">
        <f t="shared" si="108"/>
        <v/>
      </c>
      <c r="AH778" s="222" t="str">
        <f t="shared" si="110"/>
        <v/>
      </c>
      <c r="AI778" s="220">
        <f t="shared" si="115"/>
        <v>4</v>
      </c>
      <c r="AJ778" s="222">
        <f t="shared" si="111"/>
        <v>0</v>
      </c>
      <c r="AK778" s="299" t="str">
        <f>IF(ISERROR(LOOKUP(E778,WKNrListe,Übersicht!$R$7:$R$46)),"-",LOOKUP(E778,WKNrListe,Übersicht!$R$7:$R$46))</f>
        <v>-</v>
      </c>
      <c r="AL778" s="299" t="str">
        <f t="shared" si="114"/>
        <v>-</v>
      </c>
      <c r="AM778" s="303"/>
      <c r="AN778" s="174" t="str">
        <f t="shared" si="107"/>
        <v>Leer</v>
      </c>
    </row>
    <row r="779" spans="1:40" s="174" customFormat="1" ht="15" customHeight="1">
      <c r="A779" s="63"/>
      <c r="B779" s="63"/>
      <c r="C779" s="84"/>
      <c r="D779" s="85"/>
      <c r="E779" s="62"/>
      <c r="F779" s="62"/>
      <c r="G779" s="62"/>
      <c r="H779" s="62"/>
      <c r="I779" s="62"/>
      <c r="J779" s="62"/>
      <c r="K779" s="62"/>
      <c r="L779" s="62"/>
      <c r="M779" s="62"/>
      <c r="N779" s="62"/>
      <c r="O779" s="62"/>
      <c r="P779" s="62"/>
      <c r="Q779" s="62"/>
      <c r="R779" s="62"/>
      <c r="S779" s="258"/>
      <c r="T779" s="248" t="str">
        <f t="shared" si="112"/>
        <v/>
      </c>
      <c r="U779" s="249" t="str">
        <f t="shared" si="113"/>
        <v/>
      </c>
      <c r="V779" s="294" t="str">
        <f t="shared" si="109"/>
        <v/>
      </c>
      <c r="W779" s="294" t="str">
        <f>IF(((E779="")+(F779="")),"",IF(VLOOKUP(F779,Mannschaften!$A$1:$B$54,2,FALSE)&lt;&gt;E779,"Reiter Mannschaften füllen",""))</f>
        <v/>
      </c>
      <c r="X779" s="248" t="str">
        <f>IF(ISBLANK(C779),"",IF((U779&gt;(LOOKUP(E779,WKNrListe,Übersicht!$O$7:$O$46)))+(U779&lt;(LOOKUP(E779,WKNrListe,Übersicht!$P$7:$P$46))),"JG falsch",""))</f>
        <v/>
      </c>
      <c r="Y779" s="255" t="str">
        <f>IF((A779="")*(B779=""),"",IF(ISERROR(MATCH(E779,WKNrListe,0)),"WK falsch",LOOKUP(E779,WKNrListe,Übersicht!$B$7:$B$46)))</f>
        <v/>
      </c>
      <c r="Z779" s="269" t="str">
        <f>IF(((AJ779=0)*(AH779&lt;&gt;"")*(AK779="-"))+((AJ779&lt;&gt;0)*(AH779&lt;&gt;"")*(AK779="-")),IF(AG779="X",Übersicht!$C$70,Übersicht!$C$69),"-")</f>
        <v>-</v>
      </c>
      <c r="AA779" s="252" t="str">
        <f>IF((($A779="")*($B779=""))+((MID($Y779,1,4)&lt;&gt;"Wahl")*(Deckblatt!$C$14='WK-Vorlagen'!$C$82))+(Deckblatt!$C$14&lt;&gt;'WK-Vorlagen'!$C$82),"",IF(ISERROR(MATCH(VALUE(MID(G779,1,2)),Schwierigkeitsstufen!$G$7:$G$19,0)),"Gerät falsch",LOOKUP(VALUE(MID(G779,1,2)),Schwierigkeitsstufen!$G$7:$G$19,Schwierigkeitsstufen!$H$7:$H$19)))</f>
        <v/>
      </c>
      <c r="AB779" s="250" t="str">
        <f>IF((($A779="")*($B779=""))+((MID($Y779,1,4)&lt;&gt;"Wahl")*(Deckblatt!$C$14='WK-Vorlagen'!$C$82))+(Deckblatt!$C$14&lt;&gt;'WK-Vorlagen'!$C$82),"",IF(ISERROR(MATCH(VALUE(MID(H779,1,2)),Schwierigkeitsstufen!$G$7:$G$19,0)),"Gerät falsch",LOOKUP(VALUE(MID(H779,1,2)),Schwierigkeitsstufen!$G$7:$G$19,Schwierigkeitsstufen!$H$7:$H$19)))</f>
        <v/>
      </c>
      <c r="AC779" s="250" t="str">
        <f>IF((($A779="")*($B779=""))+((MID($Y779,1,4)&lt;&gt;"Wahl")*(Deckblatt!$C$14='WK-Vorlagen'!$C$82))+(Deckblatt!$C$14&lt;&gt;'WK-Vorlagen'!$C$82),"",IF(ISERROR(MATCH(VALUE(MID(I779,1,2)),Schwierigkeitsstufen!$G$7:$G$19,0)),"Gerät falsch",LOOKUP(VALUE(MID(I779,1,2)),Schwierigkeitsstufen!$G$7:$G$19,Schwierigkeitsstufen!$H$7:$H$19)))</f>
        <v/>
      </c>
      <c r="AD779" s="251" t="str">
        <f>IF((($A779="")*($B779=""))+((MID($Y779,1,4)&lt;&gt;"Wahl")*(Deckblatt!$C$14='WK-Vorlagen'!$C$82))+(Deckblatt!$C$14&lt;&gt;'WK-Vorlagen'!$C$82),"",IF(ISERROR(MATCH(VALUE(MID(J779,1,2)),Schwierigkeitsstufen!$G$7:$G$19,0)),"Gerät falsch",LOOKUP(VALUE(MID(J779,1,2)),Schwierigkeitsstufen!$G$7:$G$19,Schwierigkeitsstufen!$H$7:$H$19)))</f>
        <v/>
      </c>
      <c r="AE779" s="211"/>
      <c r="AG779" s="221" t="str">
        <f t="shared" si="108"/>
        <v/>
      </c>
      <c r="AH779" s="222" t="str">
        <f t="shared" si="110"/>
        <v/>
      </c>
      <c r="AI779" s="220">
        <f t="shared" si="115"/>
        <v>4</v>
      </c>
      <c r="AJ779" s="222">
        <f t="shared" si="111"/>
        <v>0</v>
      </c>
      <c r="AK779" s="299" t="str">
        <f>IF(ISERROR(LOOKUP(E779,WKNrListe,Übersicht!$R$7:$R$46)),"-",LOOKUP(E779,WKNrListe,Übersicht!$R$7:$R$46))</f>
        <v>-</v>
      </c>
      <c r="AL779" s="299" t="str">
        <f t="shared" si="114"/>
        <v>-</v>
      </c>
      <c r="AM779" s="303"/>
      <c r="AN779" s="174" t="str">
        <f t="shared" si="107"/>
        <v>Leer</v>
      </c>
    </row>
    <row r="780" spans="1:40" s="174" customFormat="1" ht="15" customHeight="1">
      <c r="A780" s="63"/>
      <c r="B780" s="63"/>
      <c r="C780" s="84"/>
      <c r="D780" s="85"/>
      <c r="E780" s="62"/>
      <c r="F780" s="62"/>
      <c r="G780" s="62"/>
      <c r="H780" s="62"/>
      <c r="I780" s="62"/>
      <c r="J780" s="62"/>
      <c r="K780" s="62"/>
      <c r="L780" s="62"/>
      <c r="M780" s="62"/>
      <c r="N780" s="62"/>
      <c r="O780" s="62"/>
      <c r="P780" s="62"/>
      <c r="Q780" s="62"/>
      <c r="R780" s="62"/>
      <c r="S780" s="258"/>
      <c r="T780" s="248" t="str">
        <f t="shared" si="112"/>
        <v/>
      </c>
      <c r="U780" s="249" t="str">
        <f t="shared" si="113"/>
        <v/>
      </c>
      <c r="V780" s="294" t="str">
        <f t="shared" si="109"/>
        <v/>
      </c>
      <c r="W780" s="294" t="str">
        <f>IF(((E780="")+(F780="")),"",IF(VLOOKUP(F780,Mannschaften!$A$1:$B$54,2,FALSE)&lt;&gt;E780,"Reiter Mannschaften füllen",""))</f>
        <v/>
      </c>
      <c r="X780" s="248" t="str">
        <f>IF(ISBLANK(C780),"",IF((U780&gt;(LOOKUP(E780,WKNrListe,Übersicht!$O$7:$O$46)))+(U780&lt;(LOOKUP(E780,WKNrListe,Übersicht!$P$7:$P$46))),"JG falsch",""))</f>
        <v/>
      </c>
      <c r="Y780" s="255" t="str">
        <f>IF((A780="")*(B780=""),"",IF(ISERROR(MATCH(E780,WKNrListe,0)),"WK falsch",LOOKUP(E780,WKNrListe,Übersicht!$B$7:$B$46)))</f>
        <v/>
      </c>
      <c r="Z780" s="269" t="str">
        <f>IF(((AJ780=0)*(AH780&lt;&gt;"")*(AK780="-"))+((AJ780&lt;&gt;0)*(AH780&lt;&gt;"")*(AK780="-")),IF(AG780="X",Übersicht!$C$70,Übersicht!$C$69),"-")</f>
        <v>-</v>
      </c>
      <c r="AA780" s="252" t="str">
        <f>IF((($A780="")*($B780=""))+((MID($Y780,1,4)&lt;&gt;"Wahl")*(Deckblatt!$C$14='WK-Vorlagen'!$C$82))+(Deckblatt!$C$14&lt;&gt;'WK-Vorlagen'!$C$82),"",IF(ISERROR(MATCH(VALUE(MID(G780,1,2)),Schwierigkeitsstufen!$G$7:$G$19,0)),"Gerät falsch",LOOKUP(VALUE(MID(G780,1,2)),Schwierigkeitsstufen!$G$7:$G$19,Schwierigkeitsstufen!$H$7:$H$19)))</f>
        <v/>
      </c>
      <c r="AB780" s="250" t="str">
        <f>IF((($A780="")*($B780=""))+((MID($Y780,1,4)&lt;&gt;"Wahl")*(Deckblatt!$C$14='WK-Vorlagen'!$C$82))+(Deckblatt!$C$14&lt;&gt;'WK-Vorlagen'!$C$82),"",IF(ISERROR(MATCH(VALUE(MID(H780,1,2)),Schwierigkeitsstufen!$G$7:$G$19,0)),"Gerät falsch",LOOKUP(VALUE(MID(H780,1,2)),Schwierigkeitsstufen!$G$7:$G$19,Schwierigkeitsstufen!$H$7:$H$19)))</f>
        <v/>
      </c>
      <c r="AC780" s="250" t="str">
        <f>IF((($A780="")*($B780=""))+((MID($Y780,1,4)&lt;&gt;"Wahl")*(Deckblatt!$C$14='WK-Vorlagen'!$C$82))+(Deckblatt!$C$14&lt;&gt;'WK-Vorlagen'!$C$82),"",IF(ISERROR(MATCH(VALUE(MID(I780,1,2)),Schwierigkeitsstufen!$G$7:$G$19,0)),"Gerät falsch",LOOKUP(VALUE(MID(I780,1,2)),Schwierigkeitsstufen!$G$7:$G$19,Schwierigkeitsstufen!$H$7:$H$19)))</f>
        <v/>
      </c>
      <c r="AD780" s="251" t="str">
        <f>IF((($A780="")*($B780=""))+((MID($Y780,1,4)&lt;&gt;"Wahl")*(Deckblatt!$C$14='WK-Vorlagen'!$C$82))+(Deckblatt!$C$14&lt;&gt;'WK-Vorlagen'!$C$82),"",IF(ISERROR(MATCH(VALUE(MID(J780,1,2)),Schwierigkeitsstufen!$G$7:$G$19,0)),"Gerät falsch",LOOKUP(VALUE(MID(J780,1,2)),Schwierigkeitsstufen!$G$7:$G$19,Schwierigkeitsstufen!$H$7:$H$19)))</f>
        <v/>
      </c>
      <c r="AE780" s="211"/>
      <c r="AG780" s="221" t="str">
        <f t="shared" si="108"/>
        <v/>
      </c>
      <c r="AH780" s="222" t="str">
        <f t="shared" si="110"/>
        <v/>
      </c>
      <c r="AI780" s="220">
        <f t="shared" si="115"/>
        <v>4</v>
      </c>
      <c r="AJ780" s="222">
        <f t="shared" si="111"/>
        <v>0</v>
      </c>
      <c r="AK780" s="299" t="str">
        <f>IF(ISERROR(LOOKUP(E780,WKNrListe,Übersicht!$R$7:$R$46)),"-",LOOKUP(E780,WKNrListe,Übersicht!$R$7:$R$46))</f>
        <v>-</v>
      </c>
      <c r="AL780" s="299" t="str">
        <f t="shared" si="114"/>
        <v>-</v>
      </c>
      <c r="AM780" s="303"/>
      <c r="AN780" s="174" t="str">
        <f t="shared" si="107"/>
        <v>Leer</v>
      </c>
    </row>
    <row r="781" spans="1:40" s="174" customFormat="1" ht="15" customHeight="1">
      <c r="A781" s="63"/>
      <c r="B781" s="63"/>
      <c r="C781" s="84"/>
      <c r="D781" s="85"/>
      <c r="E781" s="62"/>
      <c r="F781" s="62"/>
      <c r="G781" s="62"/>
      <c r="H781" s="62"/>
      <c r="I781" s="62"/>
      <c r="J781" s="62"/>
      <c r="K781" s="62"/>
      <c r="L781" s="62"/>
      <c r="M781" s="62"/>
      <c r="N781" s="62"/>
      <c r="O781" s="62"/>
      <c r="P781" s="62"/>
      <c r="Q781" s="62"/>
      <c r="R781" s="62"/>
      <c r="S781" s="258"/>
      <c r="T781" s="248" t="str">
        <f t="shared" si="112"/>
        <v/>
      </c>
      <c r="U781" s="249" t="str">
        <f t="shared" si="113"/>
        <v/>
      </c>
      <c r="V781" s="294" t="str">
        <f t="shared" si="109"/>
        <v/>
      </c>
      <c r="W781" s="294" t="str">
        <f>IF(((E781="")+(F781="")),"",IF(VLOOKUP(F781,Mannschaften!$A$1:$B$54,2,FALSE)&lt;&gt;E781,"Reiter Mannschaften füllen",""))</f>
        <v/>
      </c>
      <c r="X781" s="248" t="str">
        <f>IF(ISBLANK(C781),"",IF((U781&gt;(LOOKUP(E781,WKNrListe,Übersicht!$O$7:$O$46)))+(U781&lt;(LOOKUP(E781,WKNrListe,Übersicht!$P$7:$P$46))),"JG falsch",""))</f>
        <v/>
      </c>
      <c r="Y781" s="255" t="str">
        <f>IF((A781="")*(B781=""),"",IF(ISERROR(MATCH(E781,WKNrListe,0)),"WK falsch",LOOKUP(E781,WKNrListe,Übersicht!$B$7:$B$46)))</f>
        <v/>
      </c>
      <c r="Z781" s="269" t="str">
        <f>IF(((AJ781=0)*(AH781&lt;&gt;"")*(AK781="-"))+((AJ781&lt;&gt;0)*(AH781&lt;&gt;"")*(AK781="-")),IF(AG781="X",Übersicht!$C$70,Übersicht!$C$69),"-")</f>
        <v>-</v>
      </c>
      <c r="AA781" s="252" t="str">
        <f>IF((($A781="")*($B781=""))+((MID($Y781,1,4)&lt;&gt;"Wahl")*(Deckblatt!$C$14='WK-Vorlagen'!$C$82))+(Deckblatt!$C$14&lt;&gt;'WK-Vorlagen'!$C$82),"",IF(ISERROR(MATCH(VALUE(MID(G781,1,2)),Schwierigkeitsstufen!$G$7:$G$19,0)),"Gerät falsch",LOOKUP(VALUE(MID(G781,1,2)),Schwierigkeitsstufen!$G$7:$G$19,Schwierigkeitsstufen!$H$7:$H$19)))</f>
        <v/>
      </c>
      <c r="AB781" s="250" t="str">
        <f>IF((($A781="")*($B781=""))+((MID($Y781,1,4)&lt;&gt;"Wahl")*(Deckblatt!$C$14='WK-Vorlagen'!$C$82))+(Deckblatt!$C$14&lt;&gt;'WK-Vorlagen'!$C$82),"",IF(ISERROR(MATCH(VALUE(MID(H781,1,2)),Schwierigkeitsstufen!$G$7:$G$19,0)),"Gerät falsch",LOOKUP(VALUE(MID(H781,1,2)),Schwierigkeitsstufen!$G$7:$G$19,Schwierigkeitsstufen!$H$7:$H$19)))</f>
        <v/>
      </c>
      <c r="AC781" s="250" t="str">
        <f>IF((($A781="")*($B781=""))+((MID($Y781,1,4)&lt;&gt;"Wahl")*(Deckblatt!$C$14='WK-Vorlagen'!$C$82))+(Deckblatt!$C$14&lt;&gt;'WK-Vorlagen'!$C$82),"",IF(ISERROR(MATCH(VALUE(MID(I781,1,2)),Schwierigkeitsstufen!$G$7:$G$19,0)),"Gerät falsch",LOOKUP(VALUE(MID(I781,1,2)),Schwierigkeitsstufen!$G$7:$G$19,Schwierigkeitsstufen!$H$7:$H$19)))</f>
        <v/>
      </c>
      <c r="AD781" s="251" t="str">
        <f>IF((($A781="")*($B781=""))+((MID($Y781,1,4)&lt;&gt;"Wahl")*(Deckblatt!$C$14='WK-Vorlagen'!$C$82))+(Deckblatt!$C$14&lt;&gt;'WK-Vorlagen'!$C$82),"",IF(ISERROR(MATCH(VALUE(MID(J781,1,2)),Schwierigkeitsstufen!$G$7:$G$19,0)),"Gerät falsch",LOOKUP(VALUE(MID(J781,1,2)),Schwierigkeitsstufen!$G$7:$G$19,Schwierigkeitsstufen!$H$7:$H$19)))</f>
        <v/>
      </c>
      <c r="AE781" s="211"/>
      <c r="AG781" s="221" t="str">
        <f t="shared" si="108"/>
        <v/>
      </c>
      <c r="AH781" s="222" t="str">
        <f t="shared" si="110"/>
        <v/>
      </c>
      <c r="AI781" s="220">
        <f t="shared" si="115"/>
        <v>4</v>
      </c>
      <c r="AJ781" s="222">
        <f t="shared" si="111"/>
        <v>0</v>
      </c>
      <c r="AK781" s="299" t="str">
        <f>IF(ISERROR(LOOKUP(E781,WKNrListe,Übersicht!$R$7:$R$46)),"-",LOOKUP(E781,WKNrListe,Übersicht!$R$7:$R$46))</f>
        <v>-</v>
      </c>
      <c r="AL781" s="299" t="str">
        <f t="shared" si="114"/>
        <v>-</v>
      </c>
      <c r="AM781" s="303"/>
      <c r="AN781" s="174" t="str">
        <f t="shared" si="107"/>
        <v>Leer</v>
      </c>
    </row>
    <row r="782" spans="1:40" s="174" customFormat="1" ht="15" customHeight="1">
      <c r="A782" s="63"/>
      <c r="B782" s="63"/>
      <c r="C782" s="84"/>
      <c r="D782" s="85"/>
      <c r="E782" s="62"/>
      <c r="F782" s="62"/>
      <c r="G782" s="62"/>
      <c r="H782" s="62"/>
      <c r="I782" s="62"/>
      <c r="J782" s="62"/>
      <c r="K782" s="62"/>
      <c r="L782" s="62"/>
      <c r="M782" s="62"/>
      <c r="N782" s="62"/>
      <c r="O782" s="62"/>
      <c r="P782" s="62"/>
      <c r="Q782" s="62"/>
      <c r="R782" s="62"/>
      <c r="S782" s="258"/>
      <c r="T782" s="248" t="str">
        <f t="shared" si="112"/>
        <v/>
      </c>
      <c r="U782" s="249" t="str">
        <f t="shared" si="113"/>
        <v/>
      </c>
      <c r="V782" s="294" t="str">
        <f t="shared" si="109"/>
        <v/>
      </c>
      <c r="W782" s="294" t="str">
        <f>IF(((E782="")+(F782="")),"",IF(VLOOKUP(F782,Mannschaften!$A$1:$B$54,2,FALSE)&lt;&gt;E782,"Reiter Mannschaften füllen",""))</f>
        <v/>
      </c>
      <c r="X782" s="248" t="str">
        <f>IF(ISBLANK(C782),"",IF((U782&gt;(LOOKUP(E782,WKNrListe,Übersicht!$O$7:$O$46)))+(U782&lt;(LOOKUP(E782,WKNrListe,Übersicht!$P$7:$P$46))),"JG falsch",""))</f>
        <v/>
      </c>
      <c r="Y782" s="255" t="str">
        <f>IF((A782="")*(B782=""),"",IF(ISERROR(MATCH(E782,WKNrListe,0)),"WK falsch",LOOKUP(E782,WKNrListe,Übersicht!$B$7:$B$46)))</f>
        <v/>
      </c>
      <c r="Z782" s="269" t="str">
        <f>IF(((AJ782=0)*(AH782&lt;&gt;"")*(AK782="-"))+((AJ782&lt;&gt;0)*(AH782&lt;&gt;"")*(AK782="-")),IF(AG782="X",Übersicht!$C$70,Übersicht!$C$69),"-")</f>
        <v>-</v>
      </c>
      <c r="AA782" s="252" t="str">
        <f>IF((($A782="")*($B782=""))+((MID($Y782,1,4)&lt;&gt;"Wahl")*(Deckblatt!$C$14='WK-Vorlagen'!$C$82))+(Deckblatt!$C$14&lt;&gt;'WK-Vorlagen'!$C$82),"",IF(ISERROR(MATCH(VALUE(MID(G782,1,2)),Schwierigkeitsstufen!$G$7:$G$19,0)),"Gerät falsch",LOOKUP(VALUE(MID(G782,1,2)),Schwierigkeitsstufen!$G$7:$G$19,Schwierigkeitsstufen!$H$7:$H$19)))</f>
        <v/>
      </c>
      <c r="AB782" s="250" t="str">
        <f>IF((($A782="")*($B782=""))+((MID($Y782,1,4)&lt;&gt;"Wahl")*(Deckblatt!$C$14='WK-Vorlagen'!$C$82))+(Deckblatt!$C$14&lt;&gt;'WK-Vorlagen'!$C$82),"",IF(ISERROR(MATCH(VALUE(MID(H782,1,2)),Schwierigkeitsstufen!$G$7:$G$19,0)),"Gerät falsch",LOOKUP(VALUE(MID(H782,1,2)),Schwierigkeitsstufen!$G$7:$G$19,Schwierigkeitsstufen!$H$7:$H$19)))</f>
        <v/>
      </c>
      <c r="AC782" s="250" t="str">
        <f>IF((($A782="")*($B782=""))+((MID($Y782,1,4)&lt;&gt;"Wahl")*(Deckblatt!$C$14='WK-Vorlagen'!$C$82))+(Deckblatt!$C$14&lt;&gt;'WK-Vorlagen'!$C$82),"",IF(ISERROR(MATCH(VALUE(MID(I782,1,2)),Schwierigkeitsstufen!$G$7:$G$19,0)),"Gerät falsch",LOOKUP(VALUE(MID(I782,1,2)),Schwierigkeitsstufen!$G$7:$G$19,Schwierigkeitsstufen!$H$7:$H$19)))</f>
        <v/>
      </c>
      <c r="AD782" s="251" t="str">
        <f>IF((($A782="")*($B782=""))+((MID($Y782,1,4)&lt;&gt;"Wahl")*(Deckblatt!$C$14='WK-Vorlagen'!$C$82))+(Deckblatt!$C$14&lt;&gt;'WK-Vorlagen'!$C$82),"",IF(ISERROR(MATCH(VALUE(MID(J782,1,2)),Schwierigkeitsstufen!$G$7:$G$19,0)),"Gerät falsch",LOOKUP(VALUE(MID(J782,1,2)),Schwierigkeitsstufen!$G$7:$G$19,Schwierigkeitsstufen!$H$7:$H$19)))</f>
        <v/>
      </c>
      <c r="AE782" s="211"/>
      <c r="AG782" s="221" t="str">
        <f t="shared" si="108"/>
        <v/>
      </c>
      <c r="AH782" s="222" t="str">
        <f t="shared" si="110"/>
        <v/>
      </c>
      <c r="AI782" s="220">
        <f t="shared" si="115"/>
        <v>4</v>
      </c>
      <c r="AJ782" s="222">
        <f t="shared" si="111"/>
        <v>0</v>
      </c>
      <c r="AK782" s="299" t="str">
        <f>IF(ISERROR(LOOKUP(E782,WKNrListe,Übersicht!$R$7:$R$46)),"-",LOOKUP(E782,WKNrListe,Übersicht!$R$7:$R$46))</f>
        <v>-</v>
      </c>
      <c r="AL782" s="299" t="str">
        <f t="shared" si="114"/>
        <v>-</v>
      </c>
      <c r="AM782" s="303"/>
      <c r="AN782" s="174" t="str">
        <f t="shared" si="107"/>
        <v>Leer</v>
      </c>
    </row>
    <row r="783" spans="1:40" s="174" customFormat="1" ht="15" customHeight="1">
      <c r="A783" s="63"/>
      <c r="B783" s="63"/>
      <c r="C783" s="84"/>
      <c r="D783" s="85"/>
      <c r="E783" s="62"/>
      <c r="F783" s="62"/>
      <c r="G783" s="62"/>
      <c r="H783" s="62"/>
      <c r="I783" s="62"/>
      <c r="J783" s="62"/>
      <c r="K783" s="62"/>
      <c r="L783" s="62"/>
      <c r="M783" s="62"/>
      <c r="N783" s="62"/>
      <c r="O783" s="62"/>
      <c r="P783" s="62"/>
      <c r="Q783" s="62"/>
      <c r="R783" s="62"/>
      <c r="S783" s="258"/>
      <c r="T783" s="248" t="str">
        <f t="shared" si="112"/>
        <v/>
      </c>
      <c r="U783" s="249" t="str">
        <f t="shared" si="113"/>
        <v/>
      </c>
      <c r="V783" s="294" t="str">
        <f t="shared" si="109"/>
        <v/>
      </c>
      <c r="W783" s="294" t="str">
        <f>IF(((E783="")+(F783="")),"",IF(VLOOKUP(F783,Mannschaften!$A$1:$B$54,2,FALSE)&lt;&gt;E783,"Reiter Mannschaften füllen",""))</f>
        <v/>
      </c>
      <c r="X783" s="248" t="str">
        <f>IF(ISBLANK(C783),"",IF((U783&gt;(LOOKUP(E783,WKNrListe,Übersicht!$O$7:$O$46)))+(U783&lt;(LOOKUP(E783,WKNrListe,Übersicht!$P$7:$P$46))),"JG falsch",""))</f>
        <v/>
      </c>
      <c r="Y783" s="255" t="str">
        <f>IF((A783="")*(B783=""),"",IF(ISERROR(MATCH(E783,WKNrListe,0)),"WK falsch",LOOKUP(E783,WKNrListe,Übersicht!$B$7:$B$46)))</f>
        <v/>
      </c>
      <c r="Z783" s="269" t="str">
        <f>IF(((AJ783=0)*(AH783&lt;&gt;"")*(AK783="-"))+((AJ783&lt;&gt;0)*(AH783&lt;&gt;"")*(AK783="-")),IF(AG783="X",Übersicht!$C$70,Übersicht!$C$69),"-")</f>
        <v>-</v>
      </c>
      <c r="AA783" s="252" t="str">
        <f>IF((($A783="")*($B783=""))+((MID($Y783,1,4)&lt;&gt;"Wahl")*(Deckblatt!$C$14='WK-Vorlagen'!$C$82))+(Deckblatt!$C$14&lt;&gt;'WK-Vorlagen'!$C$82),"",IF(ISERROR(MATCH(VALUE(MID(G783,1,2)),Schwierigkeitsstufen!$G$7:$G$19,0)),"Gerät falsch",LOOKUP(VALUE(MID(G783,1,2)),Schwierigkeitsstufen!$G$7:$G$19,Schwierigkeitsstufen!$H$7:$H$19)))</f>
        <v/>
      </c>
      <c r="AB783" s="250" t="str">
        <f>IF((($A783="")*($B783=""))+((MID($Y783,1,4)&lt;&gt;"Wahl")*(Deckblatt!$C$14='WK-Vorlagen'!$C$82))+(Deckblatt!$C$14&lt;&gt;'WK-Vorlagen'!$C$82),"",IF(ISERROR(MATCH(VALUE(MID(H783,1,2)),Schwierigkeitsstufen!$G$7:$G$19,0)),"Gerät falsch",LOOKUP(VALUE(MID(H783,1,2)),Schwierigkeitsstufen!$G$7:$G$19,Schwierigkeitsstufen!$H$7:$H$19)))</f>
        <v/>
      </c>
      <c r="AC783" s="250" t="str">
        <f>IF((($A783="")*($B783=""))+((MID($Y783,1,4)&lt;&gt;"Wahl")*(Deckblatt!$C$14='WK-Vorlagen'!$C$82))+(Deckblatt!$C$14&lt;&gt;'WK-Vorlagen'!$C$82),"",IF(ISERROR(MATCH(VALUE(MID(I783,1,2)),Schwierigkeitsstufen!$G$7:$G$19,0)),"Gerät falsch",LOOKUP(VALUE(MID(I783,1,2)),Schwierigkeitsstufen!$G$7:$G$19,Schwierigkeitsstufen!$H$7:$H$19)))</f>
        <v/>
      </c>
      <c r="AD783" s="251" t="str">
        <f>IF((($A783="")*($B783=""))+((MID($Y783,1,4)&lt;&gt;"Wahl")*(Deckblatt!$C$14='WK-Vorlagen'!$C$82))+(Deckblatt!$C$14&lt;&gt;'WK-Vorlagen'!$C$82),"",IF(ISERROR(MATCH(VALUE(MID(J783,1,2)),Schwierigkeitsstufen!$G$7:$G$19,0)),"Gerät falsch",LOOKUP(VALUE(MID(J783,1,2)),Schwierigkeitsstufen!$G$7:$G$19,Schwierigkeitsstufen!$H$7:$H$19)))</f>
        <v/>
      </c>
      <c r="AE783" s="211"/>
      <c r="AG783" s="221" t="str">
        <f t="shared" si="108"/>
        <v/>
      </c>
      <c r="AH783" s="222" t="str">
        <f t="shared" si="110"/>
        <v/>
      </c>
      <c r="AI783" s="220">
        <f t="shared" si="115"/>
        <v>4</v>
      </c>
      <c r="AJ783" s="222">
        <f t="shared" si="111"/>
        <v>0</v>
      </c>
      <c r="AK783" s="299" t="str">
        <f>IF(ISERROR(LOOKUP(E783,WKNrListe,Übersicht!$R$7:$R$46)),"-",LOOKUP(E783,WKNrListe,Übersicht!$R$7:$R$46))</f>
        <v>-</v>
      </c>
      <c r="AL783" s="299" t="str">
        <f t="shared" si="114"/>
        <v>-</v>
      </c>
      <c r="AM783" s="303"/>
      <c r="AN783" s="174" t="str">
        <f t="shared" si="107"/>
        <v>Leer</v>
      </c>
    </row>
    <row r="784" spans="1:40" s="174" customFormat="1" ht="15" customHeight="1">
      <c r="A784" s="63"/>
      <c r="B784" s="63"/>
      <c r="C784" s="84"/>
      <c r="D784" s="85"/>
      <c r="E784" s="62"/>
      <c r="F784" s="62"/>
      <c r="G784" s="62"/>
      <c r="H784" s="62"/>
      <c r="I784" s="62"/>
      <c r="J784" s="62"/>
      <c r="K784" s="62"/>
      <c r="L784" s="62"/>
      <c r="M784" s="62"/>
      <c r="N784" s="62"/>
      <c r="O784" s="62"/>
      <c r="P784" s="62"/>
      <c r="Q784" s="62"/>
      <c r="R784" s="62"/>
      <c r="S784" s="258"/>
      <c r="T784" s="248" t="str">
        <f t="shared" si="112"/>
        <v/>
      </c>
      <c r="U784" s="249" t="str">
        <f t="shared" si="113"/>
        <v/>
      </c>
      <c r="V784" s="294" t="str">
        <f t="shared" si="109"/>
        <v/>
      </c>
      <c r="W784" s="294" t="str">
        <f>IF(((E784="")+(F784="")),"",IF(VLOOKUP(F784,Mannschaften!$A$1:$B$54,2,FALSE)&lt;&gt;E784,"Reiter Mannschaften füllen",""))</f>
        <v/>
      </c>
      <c r="X784" s="248" t="str">
        <f>IF(ISBLANK(C784),"",IF((U784&gt;(LOOKUP(E784,WKNrListe,Übersicht!$O$7:$O$46)))+(U784&lt;(LOOKUP(E784,WKNrListe,Übersicht!$P$7:$P$46))),"JG falsch",""))</f>
        <v/>
      </c>
      <c r="Y784" s="255" t="str">
        <f>IF((A784="")*(B784=""),"",IF(ISERROR(MATCH(E784,WKNrListe,0)),"WK falsch",LOOKUP(E784,WKNrListe,Übersicht!$B$7:$B$46)))</f>
        <v/>
      </c>
      <c r="Z784" s="269" t="str">
        <f>IF(((AJ784=0)*(AH784&lt;&gt;"")*(AK784="-"))+((AJ784&lt;&gt;0)*(AH784&lt;&gt;"")*(AK784="-")),IF(AG784="X",Übersicht!$C$70,Übersicht!$C$69),"-")</f>
        <v>-</v>
      </c>
      <c r="AA784" s="252" t="str">
        <f>IF((($A784="")*($B784=""))+((MID($Y784,1,4)&lt;&gt;"Wahl")*(Deckblatt!$C$14='WK-Vorlagen'!$C$82))+(Deckblatt!$C$14&lt;&gt;'WK-Vorlagen'!$C$82),"",IF(ISERROR(MATCH(VALUE(MID(G784,1,2)),Schwierigkeitsstufen!$G$7:$G$19,0)),"Gerät falsch",LOOKUP(VALUE(MID(G784,1,2)),Schwierigkeitsstufen!$G$7:$G$19,Schwierigkeitsstufen!$H$7:$H$19)))</f>
        <v/>
      </c>
      <c r="AB784" s="250" t="str">
        <f>IF((($A784="")*($B784=""))+((MID($Y784,1,4)&lt;&gt;"Wahl")*(Deckblatt!$C$14='WK-Vorlagen'!$C$82))+(Deckblatt!$C$14&lt;&gt;'WK-Vorlagen'!$C$82),"",IF(ISERROR(MATCH(VALUE(MID(H784,1,2)),Schwierigkeitsstufen!$G$7:$G$19,0)),"Gerät falsch",LOOKUP(VALUE(MID(H784,1,2)),Schwierigkeitsstufen!$G$7:$G$19,Schwierigkeitsstufen!$H$7:$H$19)))</f>
        <v/>
      </c>
      <c r="AC784" s="250" t="str">
        <f>IF((($A784="")*($B784=""))+((MID($Y784,1,4)&lt;&gt;"Wahl")*(Deckblatt!$C$14='WK-Vorlagen'!$C$82))+(Deckblatt!$C$14&lt;&gt;'WK-Vorlagen'!$C$82),"",IF(ISERROR(MATCH(VALUE(MID(I784,1,2)),Schwierigkeitsstufen!$G$7:$G$19,0)),"Gerät falsch",LOOKUP(VALUE(MID(I784,1,2)),Schwierigkeitsstufen!$G$7:$G$19,Schwierigkeitsstufen!$H$7:$H$19)))</f>
        <v/>
      </c>
      <c r="AD784" s="251" t="str">
        <f>IF((($A784="")*($B784=""))+((MID($Y784,1,4)&lt;&gt;"Wahl")*(Deckblatt!$C$14='WK-Vorlagen'!$C$82))+(Deckblatt!$C$14&lt;&gt;'WK-Vorlagen'!$C$82),"",IF(ISERROR(MATCH(VALUE(MID(J784,1,2)),Schwierigkeitsstufen!$G$7:$G$19,0)),"Gerät falsch",LOOKUP(VALUE(MID(J784,1,2)),Schwierigkeitsstufen!$G$7:$G$19,Schwierigkeitsstufen!$H$7:$H$19)))</f>
        <v/>
      </c>
      <c r="AE784" s="211"/>
      <c r="AG784" s="221" t="str">
        <f t="shared" si="108"/>
        <v/>
      </c>
      <c r="AH784" s="222" t="str">
        <f t="shared" si="110"/>
        <v/>
      </c>
      <c r="AI784" s="220">
        <f t="shared" si="115"/>
        <v>4</v>
      </c>
      <c r="AJ784" s="222">
        <f t="shared" si="111"/>
        <v>0</v>
      </c>
      <c r="AK784" s="299" t="str">
        <f>IF(ISERROR(LOOKUP(E784,WKNrListe,Übersicht!$R$7:$R$46)),"-",LOOKUP(E784,WKNrListe,Übersicht!$R$7:$R$46))</f>
        <v>-</v>
      </c>
      <c r="AL784" s="299" t="str">
        <f t="shared" si="114"/>
        <v>-</v>
      </c>
      <c r="AM784" s="303"/>
      <c r="AN784" s="174" t="str">
        <f t="shared" si="107"/>
        <v>Leer</v>
      </c>
    </row>
    <row r="785" spans="1:40" s="174" customFormat="1" ht="15" customHeight="1">
      <c r="A785" s="63"/>
      <c r="B785" s="63"/>
      <c r="C785" s="84"/>
      <c r="D785" s="85"/>
      <c r="E785" s="62"/>
      <c r="F785" s="62"/>
      <c r="G785" s="62"/>
      <c r="H785" s="62"/>
      <c r="I785" s="62"/>
      <c r="J785" s="62"/>
      <c r="K785" s="62"/>
      <c r="L785" s="62"/>
      <c r="M785" s="62"/>
      <c r="N785" s="62"/>
      <c r="O785" s="62"/>
      <c r="P785" s="62"/>
      <c r="Q785" s="62"/>
      <c r="R785" s="62"/>
      <c r="S785" s="258"/>
      <c r="T785" s="248" t="str">
        <f t="shared" si="112"/>
        <v/>
      </c>
      <c r="U785" s="249" t="str">
        <f t="shared" si="113"/>
        <v/>
      </c>
      <c r="V785" s="294" t="str">
        <f t="shared" si="109"/>
        <v/>
      </c>
      <c r="W785" s="294" t="str">
        <f>IF(((E785="")+(F785="")),"",IF(VLOOKUP(F785,Mannschaften!$A$1:$B$54,2,FALSE)&lt;&gt;E785,"Reiter Mannschaften füllen",""))</f>
        <v/>
      </c>
      <c r="X785" s="248" t="str">
        <f>IF(ISBLANK(C785),"",IF((U785&gt;(LOOKUP(E785,WKNrListe,Übersicht!$O$7:$O$46)))+(U785&lt;(LOOKUP(E785,WKNrListe,Übersicht!$P$7:$P$46))),"JG falsch",""))</f>
        <v/>
      </c>
      <c r="Y785" s="255" t="str">
        <f>IF((A785="")*(B785=""),"",IF(ISERROR(MATCH(E785,WKNrListe,0)),"WK falsch",LOOKUP(E785,WKNrListe,Übersicht!$B$7:$B$46)))</f>
        <v/>
      </c>
      <c r="Z785" s="269" t="str">
        <f>IF(((AJ785=0)*(AH785&lt;&gt;"")*(AK785="-"))+((AJ785&lt;&gt;0)*(AH785&lt;&gt;"")*(AK785="-")),IF(AG785="X",Übersicht!$C$70,Übersicht!$C$69),"-")</f>
        <v>-</v>
      </c>
      <c r="AA785" s="252" t="str">
        <f>IF((($A785="")*($B785=""))+((MID($Y785,1,4)&lt;&gt;"Wahl")*(Deckblatt!$C$14='WK-Vorlagen'!$C$82))+(Deckblatt!$C$14&lt;&gt;'WK-Vorlagen'!$C$82),"",IF(ISERROR(MATCH(VALUE(MID(G785,1,2)),Schwierigkeitsstufen!$G$7:$G$19,0)),"Gerät falsch",LOOKUP(VALUE(MID(G785,1,2)),Schwierigkeitsstufen!$G$7:$G$19,Schwierigkeitsstufen!$H$7:$H$19)))</f>
        <v/>
      </c>
      <c r="AB785" s="250" t="str">
        <f>IF((($A785="")*($B785=""))+((MID($Y785,1,4)&lt;&gt;"Wahl")*(Deckblatt!$C$14='WK-Vorlagen'!$C$82))+(Deckblatt!$C$14&lt;&gt;'WK-Vorlagen'!$C$82),"",IF(ISERROR(MATCH(VALUE(MID(H785,1,2)),Schwierigkeitsstufen!$G$7:$G$19,0)),"Gerät falsch",LOOKUP(VALUE(MID(H785,1,2)),Schwierigkeitsstufen!$G$7:$G$19,Schwierigkeitsstufen!$H$7:$H$19)))</f>
        <v/>
      </c>
      <c r="AC785" s="250" t="str">
        <f>IF((($A785="")*($B785=""))+((MID($Y785,1,4)&lt;&gt;"Wahl")*(Deckblatt!$C$14='WK-Vorlagen'!$C$82))+(Deckblatt!$C$14&lt;&gt;'WK-Vorlagen'!$C$82),"",IF(ISERROR(MATCH(VALUE(MID(I785,1,2)),Schwierigkeitsstufen!$G$7:$G$19,0)),"Gerät falsch",LOOKUP(VALUE(MID(I785,1,2)),Schwierigkeitsstufen!$G$7:$G$19,Schwierigkeitsstufen!$H$7:$H$19)))</f>
        <v/>
      </c>
      <c r="AD785" s="251" t="str">
        <f>IF((($A785="")*($B785=""))+((MID($Y785,1,4)&lt;&gt;"Wahl")*(Deckblatt!$C$14='WK-Vorlagen'!$C$82))+(Deckblatt!$C$14&lt;&gt;'WK-Vorlagen'!$C$82),"",IF(ISERROR(MATCH(VALUE(MID(J785,1,2)),Schwierigkeitsstufen!$G$7:$G$19,0)),"Gerät falsch",LOOKUP(VALUE(MID(J785,1,2)),Schwierigkeitsstufen!$G$7:$G$19,Schwierigkeitsstufen!$H$7:$H$19)))</f>
        <v/>
      </c>
      <c r="AE785" s="211"/>
      <c r="AG785" s="221" t="str">
        <f t="shared" si="108"/>
        <v/>
      </c>
      <c r="AH785" s="222" t="str">
        <f t="shared" si="110"/>
        <v/>
      </c>
      <c r="AI785" s="220">
        <f t="shared" si="115"/>
        <v>4</v>
      </c>
      <c r="AJ785" s="222">
        <f t="shared" si="111"/>
        <v>0</v>
      </c>
      <c r="AK785" s="299" t="str">
        <f>IF(ISERROR(LOOKUP(E785,WKNrListe,Übersicht!$R$7:$R$46)),"-",LOOKUP(E785,WKNrListe,Übersicht!$R$7:$R$46))</f>
        <v>-</v>
      </c>
      <c r="AL785" s="299" t="str">
        <f t="shared" si="114"/>
        <v>-</v>
      </c>
      <c r="AM785" s="303"/>
      <c r="AN785" s="174" t="str">
        <f t="shared" si="107"/>
        <v>Leer</v>
      </c>
    </row>
    <row r="786" spans="1:40" s="174" customFormat="1" ht="15" customHeight="1">
      <c r="A786" s="63"/>
      <c r="B786" s="63"/>
      <c r="C786" s="84"/>
      <c r="D786" s="85"/>
      <c r="E786" s="62"/>
      <c r="F786" s="62"/>
      <c r="G786" s="62"/>
      <c r="H786" s="62"/>
      <c r="I786" s="62"/>
      <c r="J786" s="62"/>
      <c r="K786" s="62"/>
      <c r="L786" s="62"/>
      <c r="M786" s="62"/>
      <c r="N786" s="62"/>
      <c r="O786" s="62"/>
      <c r="P786" s="62"/>
      <c r="Q786" s="62"/>
      <c r="R786" s="62"/>
      <c r="S786" s="258"/>
      <c r="T786" s="248" t="str">
        <f t="shared" si="112"/>
        <v/>
      </c>
      <c r="U786" s="249" t="str">
        <f t="shared" si="113"/>
        <v/>
      </c>
      <c r="V786" s="294" t="str">
        <f t="shared" si="109"/>
        <v/>
      </c>
      <c r="W786" s="294" t="str">
        <f>IF(((E786="")+(F786="")),"",IF(VLOOKUP(F786,Mannschaften!$A$1:$B$54,2,FALSE)&lt;&gt;E786,"Reiter Mannschaften füllen",""))</f>
        <v/>
      </c>
      <c r="X786" s="248" t="str">
        <f>IF(ISBLANK(C786),"",IF((U786&gt;(LOOKUP(E786,WKNrListe,Übersicht!$O$7:$O$46)))+(U786&lt;(LOOKUP(E786,WKNrListe,Übersicht!$P$7:$P$46))),"JG falsch",""))</f>
        <v/>
      </c>
      <c r="Y786" s="255" t="str">
        <f>IF((A786="")*(B786=""),"",IF(ISERROR(MATCH(E786,WKNrListe,0)),"WK falsch",LOOKUP(E786,WKNrListe,Übersicht!$B$7:$B$46)))</f>
        <v/>
      </c>
      <c r="Z786" s="269" t="str">
        <f>IF(((AJ786=0)*(AH786&lt;&gt;"")*(AK786="-"))+((AJ786&lt;&gt;0)*(AH786&lt;&gt;"")*(AK786="-")),IF(AG786="X",Übersicht!$C$70,Übersicht!$C$69),"-")</f>
        <v>-</v>
      </c>
      <c r="AA786" s="252" t="str">
        <f>IF((($A786="")*($B786=""))+((MID($Y786,1,4)&lt;&gt;"Wahl")*(Deckblatt!$C$14='WK-Vorlagen'!$C$82))+(Deckblatt!$C$14&lt;&gt;'WK-Vorlagen'!$C$82),"",IF(ISERROR(MATCH(VALUE(MID(G786,1,2)),Schwierigkeitsstufen!$G$7:$G$19,0)),"Gerät falsch",LOOKUP(VALUE(MID(G786,1,2)),Schwierigkeitsstufen!$G$7:$G$19,Schwierigkeitsstufen!$H$7:$H$19)))</f>
        <v/>
      </c>
      <c r="AB786" s="250" t="str">
        <f>IF((($A786="")*($B786=""))+((MID($Y786,1,4)&lt;&gt;"Wahl")*(Deckblatt!$C$14='WK-Vorlagen'!$C$82))+(Deckblatt!$C$14&lt;&gt;'WK-Vorlagen'!$C$82),"",IF(ISERROR(MATCH(VALUE(MID(H786,1,2)),Schwierigkeitsstufen!$G$7:$G$19,0)),"Gerät falsch",LOOKUP(VALUE(MID(H786,1,2)),Schwierigkeitsstufen!$G$7:$G$19,Schwierigkeitsstufen!$H$7:$H$19)))</f>
        <v/>
      </c>
      <c r="AC786" s="250" t="str">
        <f>IF((($A786="")*($B786=""))+((MID($Y786,1,4)&lt;&gt;"Wahl")*(Deckblatt!$C$14='WK-Vorlagen'!$C$82))+(Deckblatt!$C$14&lt;&gt;'WK-Vorlagen'!$C$82),"",IF(ISERROR(MATCH(VALUE(MID(I786,1,2)),Schwierigkeitsstufen!$G$7:$G$19,0)),"Gerät falsch",LOOKUP(VALUE(MID(I786,1,2)),Schwierigkeitsstufen!$G$7:$G$19,Schwierigkeitsstufen!$H$7:$H$19)))</f>
        <v/>
      </c>
      <c r="AD786" s="251" t="str">
        <f>IF((($A786="")*($B786=""))+((MID($Y786,1,4)&lt;&gt;"Wahl")*(Deckblatt!$C$14='WK-Vorlagen'!$C$82))+(Deckblatt!$C$14&lt;&gt;'WK-Vorlagen'!$C$82),"",IF(ISERROR(MATCH(VALUE(MID(J786,1,2)),Schwierigkeitsstufen!$G$7:$G$19,0)),"Gerät falsch",LOOKUP(VALUE(MID(J786,1,2)),Schwierigkeitsstufen!$G$7:$G$19,Schwierigkeitsstufen!$H$7:$H$19)))</f>
        <v/>
      </c>
      <c r="AE786" s="211"/>
      <c r="AG786" s="221" t="str">
        <f t="shared" si="108"/>
        <v/>
      </c>
      <c r="AH786" s="222" t="str">
        <f t="shared" si="110"/>
        <v/>
      </c>
      <c r="AI786" s="220">
        <f t="shared" si="115"/>
        <v>4</v>
      </c>
      <c r="AJ786" s="222">
        <f t="shared" si="111"/>
        <v>0</v>
      </c>
      <c r="AK786" s="299" t="str">
        <f>IF(ISERROR(LOOKUP(E786,WKNrListe,Übersicht!$R$7:$R$46)),"-",LOOKUP(E786,WKNrListe,Übersicht!$R$7:$R$46))</f>
        <v>-</v>
      </c>
      <c r="AL786" s="299" t="str">
        <f t="shared" si="114"/>
        <v>-</v>
      </c>
      <c r="AM786" s="303"/>
      <c r="AN786" s="174" t="str">
        <f t="shared" si="107"/>
        <v>Leer</v>
      </c>
    </row>
    <row r="787" spans="1:40" s="174" customFormat="1" ht="15" customHeight="1">
      <c r="A787" s="63"/>
      <c r="B787" s="63"/>
      <c r="C787" s="84"/>
      <c r="D787" s="85"/>
      <c r="E787" s="62"/>
      <c r="F787" s="62"/>
      <c r="G787" s="62"/>
      <c r="H787" s="62"/>
      <c r="I787" s="62"/>
      <c r="J787" s="62"/>
      <c r="K787" s="62"/>
      <c r="L787" s="62"/>
      <c r="M787" s="62"/>
      <c r="N787" s="62"/>
      <c r="O787" s="62"/>
      <c r="P787" s="62"/>
      <c r="Q787" s="62"/>
      <c r="R787" s="62"/>
      <c r="S787" s="258"/>
      <c r="T787" s="248" t="str">
        <f t="shared" si="112"/>
        <v/>
      </c>
      <c r="U787" s="249" t="str">
        <f t="shared" si="113"/>
        <v/>
      </c>
      <c r="V787" s="294" t="str">
        <f t="shared" si="109"/>
        <v/>
      </c>
      <c r="W787" s="294" t="str">
        <f>IF(((E787="")+(F787="")),"",IF(VLOOKUP(F787,Mannschaften!$A$1:$B$54,2,FALSE)&lt;&gt;E787,"Reiter Mannschaften füllen",""))</f>
        <v/>
      </c>
      <c r="X787" s="248" t="str">
        <f>IF(ISBLANK(C787),"",IF((U787&gt;(LOOKUP(E787,WKNrListe,Übersicht!$O$7:$O$46)))+(U787&lt;(LOOKUP(E787,WKNrListe,Übersicht!$P$7:$P$46))),"JG falsch",""))</f>
        <v/>
      </c>
      <c r="Y787" s="255" t="str">
        <f>IF((A787="")*(B787=""),"",IF(ISERROR(MATCH(E787,WKNrListe,0)),"WK falsch",LOOKUP(E787,WKNrListe,Übersicht!$B$7:$B$46)))</f>
        <v/>
      </c>
      <c r="Z787" s="269" t="str">
        <f>IF(((AJ787=0)*(AH787&lt;&gt;"")*(AK787="-"))+((AJ787&lt;&gt;0)*(AH787&lt;&gt;"")*(AK787="-")),IF(AG787="X",Übersicht!$C$70,Übersicht!$C$69),"-")</f>
        <v>-</v>
      </c>
      <c r="AA787" s="252" t="str">
        <f>IF((($A787="")*($B787=""))+((MID($Y787,1,4)&lt;&gt;"Wahl")*(Deckblatt!$C$14='WK-Vorlagen'!$C$82))+(Deckblatt!$C$14&lt;&gt;'WK-Vorlagen'!$C$82),"",IF(ISERROR(MATCH(VALUE(MID(G787,1,2)),Schwierigkeitsstufen!$G$7:$G$19,0)),"Gerät falsch",LOOKUP(VALUE(MID(G787,1,2)),Schwierigkeitsstufen!$G$7:$G$19,Schwierigkeitsstufen!$H$7:$H$19)))</f>
        <v/>
      </c>
      <c r="AB787" s="250" t="str">
        <f>IF((($A787="")*($B787=""))+((MID($Y787,1,4)&lt;&gt;"Wahl")*(Deckblatt!$C$14='WK-Vorlagen'!$C$82))+(Deckblatt!$C$14&lt;&gt;'WK-Vorlagen'!$C$82),"",IF(ISERROR(MATCH(VALUE(MID(H787,1,2)),Schwierigkeitsstufen!$G$7:$G$19,0)),"Gerät falsch",LOOKUP(VALUE(MID(H787,1,2)),Schwierigkeitsstufen!$G$7:$G$19,Schwierigkeitsstufen!$H$7:$H$19)))</f>
        <v/>
      </c>
      <c r="AC787" s="250" t="str">
        <f>IF((($A787="")*($B787=""))+((MID($Y787,1,4)&lt;&gt;"Wahl")*(Deckblatt!$C$14='WK-Vorlagen'!$C$82))+(Deckblatt!$C$14&lt;&gt;'WK-Vorlagen'!$C$82),"",IF(ISERROR(MATCH(VALUE(MID(I787,1,2)),Schwierigkeitsstufen!$G$7:$G$19,0)),"Gerät falsch",LOOKUP(VALUE(MID(I787,1,2)),Schwierigkeitsstufen!$G$7:$G$19,Schwierigkeitsstufen!$H$7:$H$19)))</f>
        <v/>
      </c>
      <c r="AD787" s="251" t="str">
        <f>IF((($A787="")*($B787=""))+((MID($Y787,1,4)&lt;&gt;"Wahl")*(Deckblatt!$C$14='WK-Vorlagen'!$C$82))+(Deckblatt!$C$14&lt;&gt;'WK-Vorlagen'!$C$82),"",IF(ISERROR(MATCH(VALUE(MID(J787,1,2)),Schwierigkeitsstufen!$G$7:$G$19,0)),"Gerät falsch",LOOKUP(VALUE(MID(J787,1,2)),Schwierigkeitsstufen!$G$7:$G$19,Schwierigkeitsstufen!$H$7:$H$19)))</f>
        <v/>
      </c>
      <c r="AE787" s="211"/>
      <c r="AG787" s="221" t="str">
        <f t="shared" si="108"/>
        <v/>
      </c>
      <c r="AH787" s="222" t="str">
        <f t="shared" si="110"/>
        <v/>
      </c>
      <c r="AI787" s="220">
        <f t="shared" si="115"/>
        <v>4</v>
      </c>
      <c r="AJ787" s="222">
        <f t="shared" si="111"/>
        <v>0</v>
      </c>
      <c r="AK787" s="299" t="str">
        <f>IF(ISERROR(LOOKUP(E787,WKNrListe,Übersicht!$R$7:$R$46)),"-",LOOKUP(E787,WKNrListe,Übersicht!$R$7:$R$46))</f>
        <v>-</v>
      </c>
      <c r="AL787" s="299" t="str">
        <f t="shared" si="114"/>
        <v>-</v>
      </c>
      <c r="AM787" s="303"/>
      <c r="AN787" s="174" t="str">
        <f t="shared" si="107"/>
        <v>Leer</v>
      </c>
    </row>
    <row r="788" spans="1:40" s="174" customFormat="1" ht="15" customHeight="1">
      <c r="A788" s="63"/>
      <c r="B788" s="63"/>
      <c r="C788" s="84"/>
      <c r="D788" s="85"/>
      <c r="E788" s="62"/>
      <c r="F788" s="62"/>
      <c r="G788" s="62"/>
      <c r="H788" s="62"/>
      <c r="I788" s="62"/>
      <c r="J788" s="62"/>
      <c r="K788" s="62"/>
      <c r="L788" s="62"/>
      <c r="M788" s="62"/>
      <c r="N788" s="62"/>
      <c r="O788" s="62"/>
      <c r="P788" s="62"/>
      <c r="Q788" s="62"/>
      <c r="R788" s="62"/>
      <c r="S788" s="258"/>
      <c r="T788" s="248" t="str">
        <f t="shared" si="112"/>
        <v/>
      </c>
      <c r="U788" s="249" t="str">
        <f t="shared" si="113"/>
        <v/>
      </c>
      <c r="V788" s="294" t="str">
        <f t="shared" si="109"/>
        <v/>
      </c>
      <c r="W788" s="294" t="str">
        <f>IF(((E788="")+(F788="")),"",IF(VLOOKUP(F788,Mannschaften!$A$1:$B$54,2,FALSE)&lt;&gt;E788,"Reiter Mannschaften füllen",""))</f>
        <v/>
      </c>
      <c r="X788" s="248" t="str">
        <f>IF(ISBLANK(C788),"",IF((U788&gt;(LOOKUP(E788,WKNrListe,Übersicht!$O$7:$O$46)))+(U788&lt;(LOOKUP(E788,WKNrListe,Übersicht!$P$7:$P$46))),"JG falsch",""))</f>
        <v/>
      </c>
      <c r="Y788" s="255" t="str">
        <f>IF((A788="")*(B788=""),"",IF(ISERROR(MATCH(E788,WKNrListe,0)),"WK falsch",LOOKUP(E788,WKNrListe,Übersicht!$B$7:$B$46)))</f>
        <v/>
      </c>
      <c r="Z788" s="269" t="str">
        <f>IF(((AJ788=0)*(AH788&lt;&gt;"")*(AK788="-"))+((AJ788&lt;&gt;0)*(AH788&lt;&gt;"")*(AK788="-")),IF(AG788="X",Übersicht!$C$70,Übersicht!$C$69),"-")</f>
        <v>-</v>
      </c>
      <c r="AA788" s="252" t="str">
        <f>IF((($A788="")*($B788=""))+((MID($Y788,1,4)&lt;&gt;"Wahl")*(Deckblatt!$C$14='WK-Vorlagen'!$C$82))+(Deckblatt!$C$14&lt;&gt;'WK-Vorlagen'!$C$82),"",IF(ISERROR(MATCH(VALUE(MID(G788,1,2)),Schwierigkeitsstufen!$G$7:$G$19,0)),"Gerät falsch",LOOKUP(VALUE(MID(G788,1,2)),Schwierigkeitsstufen!$G$7:$G$19,Schwierigkeitsstufen!$H$7:$H$19)))</f>
        <v/>
      </c>
      <c r="AB788" s="250" t="str">
        <f>IF((($A788="")*($B788=""))+((MID($Y788,1,4)&lt;&gt;"Wahl")*(Deckblatt!$C$14='WK-Vorlagen'!$C$82))+(Deckblatt!$C$14&lt;&gt;'WK-Vorlagen'!$C$82),"",IF(ISERROR(MATCH(VALUE(MID(H788,1,2)),Schwierigkeitsstufen!$G$7:$G$19,0)),"Gerät falsch",LOOKUP(VALUE(MID(H788,1,2)),Schwierigkeitsstufen!$G$7:$G$19,Schwierigkeitsstufen!$H$7:$H$19)))</f>
        <v/>
      </c>
      <c r="AC788" s="250" t="str">
        <f>IF((($A788="")*($B788=""))+((MID($Y788,1,4)&lt;&gt;"Wahl")*(Deckblatt!$C$14='WK-Vorlagen'!$C$82))+(Deckblatt!$C$14&lt;&gt;'WK-Vorlagen'!$C$82),"",IF(ISERROR(MATCH(VALUE(MID(I788,1,2)),Schwierigkeitsstufen!$G$7:$G$19,0)),"Gerät falsch",LOOKUP(VALUE(MID(I788,1,2)),Schwierigkeitsstufen!$G$7:$G$19,Schwierigkeitsstufen!$H$7:$H$19)))</f>
        <v/>
      </c>
      <c r="AD788" s="251" t="str">
        <f>IF((($A788="")*($B788=""))+((MID($Y788,1,4)&lt;&gt;"Wahl")*(Deckblatt!$C$14='WK-Vorlagen'!$C$82))+(Deckblatt!$C$14&lt;&gt;'WK-Vorlagen'!$C$82),"",IF(ISERROR(MATCH(VALUE(MID(J788,1,2)),Schwierigkeitsstufen!$G$7:$G$19,0)),"Gerät falsch",LOOKUP(VALUE(MID(J788,1,2)),Schwierigkeitsstufen!$G$7:$G$19,Schwierigkeitsstufen!$H$7:$H$19)))</f>
        <v/>
      </c>
      <c r="AE788" s="211"/>
      <c r="AG788" s="221" t="str">
        <f t="shared" si="108"/>
        <v/>
      </c>
      <c r="AH788" s="222" t="str">
        <f t="shared" si="110"/>
        <v/>
      </c>
      <c r="AI788" s="220">
        <f t="shared" si="115"/>
        <v>4</v>
      </c>
      <c r="AJ788" s="222">
        <f t="shared" si="111"/>
        <v>0</v>
      </c>
      <c r="AK788" s="299" t="str">
        <f>IF(ISERROR(LOOKUP(E788,WKNrListe,Übersicht!$R$7:$R$46)),"-",LOOKUP(E788,WKNrListe,Übersicht!$R$7:$R$46))</f>
        <v>-</v>
      </c>
      <c r="AL788" s="299" t="str">
        <f t="shared" si="114"/>
        <v>-</v>
      </c>
      <c r="AM788" s="303"/>
      <c r="AN788" s="174" t="str">
        <f t="shared" si="107"/>
        <v>Leer</v>
      </c>
    </row>
    <row r="789" spans="1:40" s="174" customFormat="1" ht="15" customHeight="1">
      <c r="A789" s="63"/>
      <c r="B789" s="63"/>
      <c r="C789" s="84"/>
      <c r="D789" s="85"/>
      <c r="E789" s="62"/>
      <c r="F789" s="62"/>
      <c r="G789" s="62"/>
      <c r="H789" s="62"/>
      <c r="I789" s="62"/>
      <c r="J789" s="62"/>
      <c r="K789" s="62"/>
      <c r="L789" s="62"/>
      <c r="M789" s="62"/>
      <c r="N789" s="62"/>
      <c r="O789" s="62"/>
      <c r="P789" s="62"/>
      <c r="Q789" s="62"/>
      <c r="R789" s="62"/>
      <c r="S789" s="258"/>
      <c r="T789" s="248" t="str">
        <f t="shared" si="112"/>
        <v/>
      </c>
      <c r="U789" s="249" t="str">
        <f t="shared" si="113"/>
        <v/>
      </c>
      <c r="V789" s="294" t="str">
        <f t="shared" si="109"/>
        <v/>
      </c>
      <c r="W789" s="294" t="str">
        <f>IF(((E789="")+(F789="")),"",IF(VLOOKUP(F789,Mannschaften!$A$1:$B$54,2,FALSE)&lt;&gt;E789,"Reiter Mannschaften füllen",""))</f>
        <v/>
      </c>
      <c r="X789" s="248" t="str">
        <f>IF(ISBLANK(C789),"",IF((U789&gt;(LOOKUP(E789,WKNrListe,Übersicht!$O$7:$O$46)))+(U789&lt;(LOOKUP(E789,WKNrListe,Übersicht!$P$7:$P$46))),"JG falsch",""))</f>
        <v/>
      </c>
      <c r="Y789" s="255" t="str">
        <f>IF((A789="")*(B789=""),"",IF(ISERROR(MATCH(E789,WKNrListe,0)),"WK falsch",LOOKUP(E789,WKNrListe,Übersicht!$B$7:$B$46)))</f>
        <v/>
      </c>
      <c r="Z789" s="269" t="str">
        <f>IF(((AJ789=0)*(AH789&lt;&gt;"")*(AK789="-"))+((AJ789&lt;&gt;0)*(AH789&lt;&gt;"")*(AK789="-")),IF(AG789="X",Übersicht!$C$70,Übersicht!$C$69),"-")</f>
        <v>-</v>
      </c>
      <c r="AA789" s="252" t="str">
        <f>IF((($A789="")*($B789=""))+((MID($Y789,1,4)&lt;&gt;"Wahl")*(Deckblatt!$C$14='WK-Vorlagen'!$C$82))+(Deckblatt!$C$14&lt;&gt;'WK-Vorlagen'!$C$82),"",IF(ISERROR(MATCH(VALUE(MID(G789,1,2)),Schwierigkeitsstufen!$G$7:$G$19,0)),"Gerät falsch",LOOKUP(VALUE(MID(G789,1,2)),Schwierigkeitsstufen!$G$7:$G$19,Schwierigkeitsstufen!$H$7:$H$19)))</f>
        <v/>
      </c>
      <c r="AB789" s="250" t="str">
        <f>IF((($A789="")*($B789=""))+((MID($Y789,1,4)&lt;&gt;"Wahl")*(Deckblatt!$C$14='WK-Vorlagen'!$C$82))+(Deckblatt!$C$14&lt;&gt;'WK-Vorlagen'!$C$82),"",IF(ISERROR(MATCH(VALUE(MID(H789,1,2)),Schwierigkeitsstufen!$G$7:$G$19,0)),"Gerät falsch",LOOKUP(VALUE(MID(H789,1,2)),Schwierigkeitsstufen!$G$7:$G$19,Schwierigkeitsstufen!$H$7:$H$19)))</f>
        <v/>
      </c>
      <c r="AC789" s="250" t="str">
        <f>IF((($A789="")*($B789=""))+((MID($Y789,1,4)&lt;&gt;"Wahl")*(Deckblatt!$C$14='WK-Vorlagen'!$C$82))+(Deckblatt!$C$14&lt;&gt;'WK-Vorlagen'!$C$82),"",IF(ISERROR(MATCH(VALUE(MID(I789,1,2)),Schwierigkeitsstufen!$G$7:$G$19,0)),"Gerät falsch",LOOKUP(VALUE(MID(I789,1,2)),Schwierigkeitsstufen!$G$7:$G$19,Schwierigkeitsstufen!$H$7:$H$19)))</f>
        <v/>
      </c>
      <c r="AD789" s="251" t="str">
        <f>IF((($A789="")*($B789=""))+((MID($Y789,1,4)&lt;&gt;"Wahl")*(Deckblatt!$C$14='WK-Vorlagen'!$C$82))+(Deckblatt!$C$14&lt;&gt;'WK-Vorlagen'!$C$82),"",IF(ISERROR(MATCH(VALUE(MID(J789,1,2)),Schwierigkeitsstufen!$G$7:$G$19,0)),"Gerät falsch",LOOKUP(VALUE(MID(J789,1,2)),Schwierigkeitsstufen!$G$7:$G$19,Schwierigkeitsstufen!$H$7:$H$19)))</f>
        <v/>
      </c>
      <c r="AE789" s="211"/>
      <c r="AG789" s="221" t="str">
        <f t="shared" si="108"/>
        <v/>
      </c>
      <c r="AH789" s="222" t="str">
        <f t="shared" si="110"/>
        <v/>
      </c>
      <c r="AI789" s="220">
        <f t="shared" si="115"/>
        <v>4</v>
      </c>
      <c r="AJ789" s="222">
        <f t="shared" si="111"/>
        <v>0</v>
      </c>
      <c r="AK789" s="299" t="str">
        <f>IF(ISERROR(LOOKUP(E789,WKNrListe,Übersicht!$R$7:$R$46)),"-",LOOKUP(E789,WKNrListe,Übersicht!$R$7:$R$46))</f>
        <v>-</v>
      </c>
      <c r="AL789" s="299" t="str">
        <f t="shared" si="114"/>
        <v>-</v>
      </c>
      <c r="AM789" s="303"/>
      <c r="AN789" s="174" t="str">
        <f t="shared" si="107"/>
        <v>Leer</v>
      </c>
    </row>
    <row r="790" spans="1:40" s="174" customFormat="1" ht="15" customHeight="1">
      <c r="A790" s="63"/>
      <c r="B790" s="63"/>
      <c r="C790" s="84"/>
      <c r="D790" s="85"/>
      <c r="E790" s="62"/>
      <c r="F790" s="62"/>
      <c r="G790" s="62"/>
      <c r="H790" s="62"/>
      <c r="I790" s="62"/>
      <c r="J790" s="62"/>
      <c r="K790" s="62"/>
      <c r="L790" s="62"/>
      <c r="M790" s="62"/>
      <c r="N790" s="62"/>
      <c r="O790" s="62"/>
      <c r="P790" s="62"/>
      <c r="Q790" s="62"/>
      <c r="R790" s="62"/>
      <c r="S790" s="258"/>
      <c r="T790" s="248" t="str">
        <f t="shared" si="112"/>
        <v/>
      </c>
      <c r="U790" s="249" t="str">
        <f t="shared" si="113"/>
        <v/>
      </c>
      <c r="V790" s="294" t="str">
        <f t="shared" si="109"/>
        <v/>
      </c>
      <c r="W790" s="294" t="str">
        <f>IF(((E790="")+(F790="")),"",IF(VLOOKUP(F790,Mannschaften!$A$1:$B$54,2,FALSE)&lt;&gt;E790,"Reiter Mannschaften füllen",""))</f>
        <v/>
      </c>
      <c r="X790" s="248" t="str">
        <f>IF(ISBLANK(C790),"",IF((U790&gt;(LOOKUP(E790,WKNrListe,Übersicht!$O$7:$O$46)))+(U790&lt;(LOOKUP(E790,WKNrListe,Übersicht!$P$7:$P$46))),"JG falsch",""))</f>
        <v/>
      </c>
      <c r="Y790" s="255" t="str">
        <f>IF((A790="")*(B790=""),"",IF(ISERROR(MATCH(E790,WKNrListe,0)),"WK falsch",LOOKUP(E790,WKNrListe,Übersicht!$B$7:$B$46)))</f>
        <v/>
      </c>
      <c r="Z790" s="269" t="str">
        <f>IF(((AJ790=0)*(AH790&lt;&gt;"")*(AK790="-"))+((AJ790&lt;&gt;0)*(AH790&lt;&gt;"")*(AK790="-")),IF(AG790="X",Übersicht!$C$70,Übersicht!$C$69),"-")</f>
        <v>-</v>
      </c>
      <c r="AA790" s="252" t="str">
        <f>IF((($A790="")*($B790=""))+((MID($Y790,1,4)&lt;&gt;"Wahl")*(Deckblatt!$C$14='WK-Vorlagen'!$C$82))+(Deckblatt!$C$14&lt;&gt;'WK-Vorlagen'!$C$82),"",IF(ISERROR(MATCH(VALUE(MID(G790,1,2)),Schwierigkeitsstufen!$G$7:$G$19,0)),"Gerät falsch",LOOKUP(VALUE(MID(G790,1,2)),Schwierigkeitsstufen!$G$7:$G$19,Schwierigkeitsstufen!$H$7:$H$19)))</f>
        <v/>
      </c>
      <c r="AB790" s="250" t="str">
        <f>IF((($A790="")*($B790=""))+((MID($Y790,1,4)&lt;&gt;"Wahl")*(Deckblatt!$C$14='WK-Vorlagen'!$C$82))+(Deckblatt!$C$14&lt;&gt;'WK-Vorlagen'!$C$82),"",IF(ISERROR(MATCH(VALUE(MID(H790,1,2)),Schwierigkeitsstufen!$G$7:$G$19,0)),"Gerät falsch",LOOKUP(VALUE(MID(H790,1,2)),Schwierigkeitsstufen!$G$7:$G$19,Schwierigkeitsstufen!$H$7:$H$19)))</f>
        <v/>
      </c>
      <c r="AC790" s="250" t="str">
        <f>IF((($A790="")*($B790=""))+((MID($Y790,1,4)&lt;&gt;"Wahl")*(Deckblatt!$C$14='WK-Vorlagen'!$C$82))+(Deckblatt!$C$14&lt;&gt;'WK-Vorlagen'!$C$82),"",IF(ISERROR(MATCH(VALUE(MID(I790,1,2)),Schwierigkeitsstufen!$G$7:$G$19,0)),"Gerät falsch",LOOKUP(VALUE(MID(I790,1,2)),Schwierigkeitsstufen!$G$7:$G$19,Schwierigkeitsstufen!$H$7:$H$19)))</f>
        <v/>
      </c>
      <c r="AD790" s="251" t="str">
        <f>IF((($A790="")*($B790=""))+((MID($Y790,1,4)&lt;&gt;"Wahl")*(Deckblatt!$C$14='WK-Vorlagen'!$C$82))+(Deckblatt!$C$14&lt;&gt;'WK-Vorlagen'!$C$82),"",IF(ISERROR(MATCH(VALUE(MID(J790,1,2)),Schwierigkeitsstufen!$G$7:$G$19,0)),"Gerät falsch",LOOKUP(VALUE(MID(J790,1,2)),Schwierigkeitsstufen!$G$7:$G$19,Schwierigkeitsstufen!$H$7:$H$19)))</f>
        <v/>
      </c>
      <c r="AE790" s="211"/>
      <c r="AG790" s="221" t="str">
        <f t="shared" si="108"/>
        <v/>
      </c>
      <c r="AH790" s="222" t="str">
        <f t="shared" si="110"/>
        <v/>
      </c>
      <c r="AI790" s="220">
        <f t="shared" si="115"/>
        <v>4</v>
      </c>
      <c r="AJ790" s="222">
        <f t="shared" si="111"/>
        <v>0</v>
      </c>
      <c r="AK790" s="299" t="str">
        <f>IF(ISERROR(LOOKUP(E790,WKNrListe,Übersicht!$R$7:$R$46)),"-",LOOKUP(E790,WKNrListe,Übersicht!$R$7:$R$46))</f>
        <v>-</v>
      </c>
      <c r="AL790" s="299" t="str">
        <f t="shared" si="114"/>
        <v>-</v>
      </c>
      <c r="AM790" s="303"/>
      <c r="AN790" s="174" t="str">
        <f t="shared" si="107"/>
        <v>Leer</v>
      </c>
    </row>
    <row r="791" spans="1:40" s="174" customFormat="1" ht="15" customHeight="1">
      <c r="A791" s="63"/>
      <c r="B791" s="63"/>
      <c r="C791" s="84"/>
      <c r="D791" s="85"/>
      <c r="E791" s="62"/>
      <c r="F791" s="62"/>
      <c r="G791" s="62"/>
      <c r="H791" s="62"/>
      <c r="I791" s="62"/>
      <c r="J791" s="62"/>
      <c r="K791" s="62"/>
      <c r="L791" s="62"/>
      <c r="M791" s="62"/>
      <c r="N791" s="62"/>
      <c r="O791" s="62"/>
      <c r="P791" s="62"/>
      <c r="Q791" s="62"/>
      <c r="R791" s="62"/>
      <c r="S791" s="258"/>
      <c r="T791" s="248" t="str">
        <f t="shared" si="112"/>
        <v/>
      </c>
      <c r="U791" s="249" t="str">
        <f t="shared" si="113"/>
        <v/>
      </c>
      <c r="V791" s="294" t="str">
        <f t="shared" si="109"/>
        <v/>
      </c>
      <c r="W791" s="294" t="str">
        <f>IF(((E791="")+(F791="")),"",IF(VLOOKUP(F791,Mannschaften!$A$1:$B$54,2,FALSE)&lt;&gt;E791,"Reiter Mannschaften füllen",""))</f>
        <v/>
      </c>
      <c r="X791" s="248" t="str">
        <f>IF(ISBLANK(C791),"",IF((U791&gt;(LOOKUP(E791,WKNrListe,Übersicht!$O$7:$O$46)))+(U791&lt;(LOOKUP(E791,WKNrListe,Übersicht!$P$7:$P$46))),"JG falsch",""))</f>
        <v/>
      </c>
      <c r="Y791" s="255" t="str">
        <f>IF((A791="")*(B791=""),"",IF(ISERROR(MATCH(E791,WKNrListe,0)),"WK falsch",LOOKUP(E791,WKNrListe,Übersicht!$B$7:$B$46)))</f>
        <v/>
      </c>
      <c r="Z791" s="269" t="str">
        <f>IF(((AJ791=0)*(AH791&lt;&gt;"")*(AK791="-"))+((AJ791&lt;&gt;0)*(AH791&lt;&gt;"")*(AK791="-")),IF(AG791="X",Übersicht!$C$70,Übersicht!$C$69),"-")</f>
        <v>-</v>
      </c>
      <c r="AA791" s="252" t="str">
        <f>IF((($A791="")*($B791=""))+((MID($Y791,1,4)&lt;&gt;"Wahl")*(Deckblatt!$C$14='WK-Vorlagen'!$C$82))+(Deckblatt!$C$14&lt;&gt;'WK-Vorlagen'!$C$82),"",IF(ISERROR(MATCH(VALUE(MID(G791,1,2)),Schwierigkeitsstufen!$G$7:$G$19,0)),"Gerät falsch",LOOKUP(VALUE(MID(G791,1,2)),Schwierigkeitsstufen!$G$7:$G$19,Schwierigkeitsstufen!$H$7:$H$19)))</f>
        <v/>
      </c>
      <c r="AB791" s="250" t="str">
        <f>IF((($A791="")*($B791=""))+((MID($Y791,1,4)&lt;&gt;"Wahl")*(Deckblatt!$C$14='WK-Vorlagen'!$C$82))+(Deckblatt!$C$14&lt;&gt;'WK-Vorlagen'!$C$82),"",IF(ISERROR(MATCH(VALUE(MID(H791,1,2)),Schwierigkeitsstufen!$G$7:$G$19,0)),"Gerät falsch",LOOKUP(VALUE(MID(H791,1,2)),Schwierigkeitsstufen!$G$7:$G$19,Schwierigkeitsstufen!$H$7:$H$19)))</f>
        <v/>
      </c>
      <c r="AC791" s="250" t="str">
        <f>IF((($A791="")*($B791=""))+((MID($Y791,1,4)&lt;&gt;"Wahl")*(Deckblatt!$C$14='WK-Vorlagen'!$C$82))+(Deckblatt!$C$14&lt;&gt;'WK-Vorlagen'!$C$82),"",IF(ISERROR(MATCH(VALUE(MID(I791,1,2)),Schwierigkeitsstufen!$G$7:$G$19,0)),"Gerät falsch",LOOKUP(VALUE(MID(I791,1,2)),Schwierigkeitsstufen!$G$7:$G$19,Schwierigkeitsstufen!$H$7:$H$19)))</f>
        <v/>
      </c>
      <c r="AD791" s="251" t="str">
        <f>IF((($A791="")*($B791=""))+((MID($Y791,1,4)&lt;&gt;"Wahl")*(Deckblatt!$C$14='WK-Vorlagen'!$C$82))+(Deckblatt!$C$14&lt;&gt;'WK-Vorlagen'!$C$82),"",IF(ISERROR(MATCH(VALUE(MID(J791,1,2)),Schwierigkeitsstufen!$G$7:$G$19,0)),"Gerät falsch",LOOKUP(VALUE(MID(J791,1,2)),Schwierigkeitsstufen!$G$7:$G$19,Schwierigkeitsstufen!$H$7:$H$19)))</f>
        <v/>
      </c>
      <c r="AE791" s="211"/>
      <c r="AG791" s="221" t="str">
        <f t="shared" si="108"/>
        <v/>
      </c>
      <c r="AH791" s="222" t="str">
        <f t="shared" si="110"/>
        <v/>
      </c>
      <c r="AI791" s="220">
        <f t="shared" si="115"/>
        <v>4</v>
      </c>
      <c r="AJ791" s="222">
        <f t="shared" si="111"/>
        <v>0</v>
      </c>
      <c r="AK791" s="299" t="str">
        <f>IF(ISERROR(LOOKUP(E791,WKNrListe,Übersicht!$R$7:$R$46)),"-",LOOKUP(E791,WKNrListe,Übersicht!$R$7:$R$46))</f>
        <v>-</v>
      </c>
      <c r="AL791" s="299" t="str">
        <f t="shared" si="114"/>
        <v>-</v>
      </c>
      <c r="AM791" s="303"/>
      <c r="AN791" s="174" t="str">
        <f t="shared" si="107"/>
        <v>Leer</v>
      </c>
    </row>
    <row r="792" spans="1:40" s="174" customFormat="1" ht="15" customHeight="1">
      <c r="A792" s="63"/>
      <c r="B792" s="63"/>
      <c r="C792" s="84"/>
      <c r="D792" s="85"/>
      <c r="E792" s="62"/>
      <c r="F792" s="62"/>
      <c r="G792" s="62"/>
      <c r="H792" s="62"/>
      <c r="I792" s="62"/>
      <c r="J792" s="62"/>
      <c r="K792" s="62"/>
      <c r="L792" s="62"/>
      <c r="M792" s="62"/>
      <c r="N792" s="62"/>
      <c r="O792" s="62"/>
      <c r="P792" s="62"/>
      <c r="Q792" s="62"/>
      <c r="R792" s="62"/>
      <c r="S792" s="258"/>
      <c r="T792" s="248" t="str">
        <f t="shared" si="112"/>
        <v/>
      </c>
      <c r="U792" s="249" t="str">
        <f t="shared" si="113"/>
        <v/>
      </c>
      <c r="V792" s="294" t="str">
        <f t="shared" si="109"/>
        <v/>
      </c>
      <c r="W792" s="294" t="str">
        <f>IF(((E792="")+(F792="")),"",IF(VLOOKUP(F792,Mannschaften!$A$1:$B$54,2,FALSE)&lt;&gt;E792,"Reiter Mannschaften füllen",""))</f>
        <v/>
      </c>
      <c r="X792" s="248" t="str">
        <f>IF(ISBLANK(C792),"",IF((U792&gt;(LOOKUP(E792,WKNrListe,Übersicht!$O$7:$O$46)))+(U792&lt;(LOOKUP(E792,WKNrListe,Übersicht!$P$7:$P$46))),"JG falsch",""))</f>
        <v/>
      </c>
      <c r="Y792" s="255" t="str">
        <f>IF((A792="")*(B792=""),"",IF(ISERROR(MATCH(E792,WKNrListe,0)),"WK falsch",LOOKUP(E792,WKNrListe,Übersicht!$B$7:$B$46)))</f>
        <v/>
      </c>
      <c r="Z792" s="269" t="str">
        <f>IF(((AJ792=0)*(AH792&lt;&gt;"")*(AK792="-"))+((AJ792&lt;&gt;0)*(AH792&lt;&gt;"")*(AK792="-")),IF(AG792="X",Übersicht!$C$70,Übersicht!$C$69),"-")</f>
        <v>-</v>
      </c>
      <c r="AA792" s="252" t="str">
        <f>IF((($A792="")*($B792=""))+((MID($Y792,1,4)&lt;&gt;"Wahl")*(Deckblatt!$C$14='WK-Vorlagen'!$C$82))+(Deckblatt!$C$14&lt;&gt;'WK-Vorlagen'!$C$82),"",IF(ISERROR(MATCH(VALUE(MID(G792,1,2)),Schwierigkeitsstufen!$G$7:$G$19,0)),"Gerät falsch",LOOKUP(VALUE(MID(G792,1,2)),Schwierigkeitsstufen!$G$7:$G$19,Schwierigkeitsstufen!$H$7:$H$19)))</f>
        <v/>
      </c>
      <c r="AB792" s="250" t="str">
        <f>IF((($A792="")*($B792=""))+((MID($Y792,1,4)&lt;&gt;"Wahl")*(Deckblatt!$C$14='WK-Vorlagen'!$C$82))+(Deckblatt!$C$14&lt;&gt;'WK-Vorlagen'!$C$82),"",IF(ISERROR(MATCH(VALUE(MID(H792,1,2)),Schwierigkeitsstufen!$G$7:$G$19,0)),"Gerät falsch",LOOKUP(VALUE(MID(H792,1,2)),Schwierigkeitsstufen!$G$7:$G$19,Schwierigkeitsstufen!$H$7:$H$19)))</f>
        <v/>
      </c>
      <c r="AC792" s="250" t="str">
        <f>IF((($A792="")*($B792=""))+((MID($Y792,1,4)&lt;&gt;"Wahl")*(Deckblatt!$C$14='WK-Vorlagen'!$C$82))+(Deckblatt!$C$14&lt;&gt;'WK-Vorlagen'!$C$82),"",IF(ISERROR(MATCH(VALUE(MID(I792,1,2)),Schwierigkeitsstufen!$G$7:$G$19,0)),"Gerät falsch",LOOKUP(VALUE(MID(I792,1,2)),Schwierigkeitsstufen!$G$7:$G$19,Schwierigkeitsstufen!$H$7:$H$19)))</f>
        <v/>
      </c>
      <c r="AD792" s="251" t="str">
        <f>IF((($A792="")*($B792=""))+((MID($Y792,1,4)&lt;&gt;"Wahl")*(Deckblatt!$C$14='WK-Vorlagen'!$C$82))+(Deckblatt!$C$14&lt;&gt;'WK-Vorlagen'!$C$82),"",IF(ISERROR(MATCH(VALUE(MID(J792,1,2)),Schwierigkeitsstufen!$G$7:$G$19,0)),"Gerät falsch",LOOKUP(VALUE(MID(J792,1,2)),Schwierigkeitsstufen!$G$7:$G$19,Schwierigkeitsstufen!$H$7:$H$19)))</f>
        <v/>
      </c>
      <c r="AE792" s="211"/>
      <c r="AG792" s="221" t="str">
        <f t="shared" si="108"/>
        <v/>
      </c>
      <c r="AH792" s="222" t="str">
        <f t="shared" si="110"/>
        <v/>
      </c>
      <c r="AI792" s="220">
        <f t="shared" si="115"/>
        <v>4</v>
      </c>
      <c r="AJ792" s="222">
        <f t="shared" si="111"/>
        <v>0</v>
      </c>
      <c r="AK792" s="299" t="str">
        <f>IF(ISERROR(LOOKUP(E792,WKNrListe,Übersicht!$R$7:$R$46)),"-",LOOKUP(E792,WKNrListe,Übersicht!$R$7:$R$46))</f>
        <v>-</v>
      </c>
      <c r="AL792" s="299" t="str">
        <f t="shared" si="114"/>
        <v>-</v>
      </c>
      <c r="AM792" s="303"/>
      <c r="AN792" s="174" t="str">
        <f t="shared" si="107"/>
        <v>Leer</v>
      </c>
    </row>
    <row r="793" spans="1:40" s="174" customFormat="1" ht="15" customHeight="1">
      <c r="A793" s="63"/>
      <c r="B793" s="63"/>
      <c r="C793" s="84"/>
      <c r="D793" s="85"/>
      <c r="E793" s="62"/>
      <c r="F793" s="62"/>
      <c r="G793" s="62"/>
      <c r="H793" s="62"/>
      <c r="I793" s="62"/>
      <c r="J793" s="62"/>
      <c r="K793" s="62"/>
      <c r="L793" s="62"/>
      <c r="M793" s="62"/>
      <c r="N793" s="62"/>
      <c r="O793" s="62"/>
      <c r="P793" s="62"/>
      <c r="Q793" s="62"/>
      <c r="R793" s="62"/>
      <c r="S793" s="258"/>
      <c r="T793" s="248" t="str">
        <f t="shared" si="112"/>
        <v/>
      </c>
      <c r="U793" s="249" t="str">
        <f t="shared" si="113"/>
        <v/>
      </c>
      <c r="V793" s="294" t="str">
        <f t="shared" si="109"/>
        <v/>
      </c>
      <c r="W793" s="294" t="str">
        <f>IF(((E793="")+(F793="")),"",IF(VLOOKUP(F793,Mannschaften!$A$1:$B$54,2,FALSE)&lt;&gt;E793,"Reiter Mannschaften füllen",""))</f>
        <v/>
      </c>
      <c r="X793" s="248" t="str">
        <f>IF(ISBLANK(C793),"",IF((U793&gt;(LOOKUP(E793,WKNrListe,Übersicht!$O$7:$O$46)))+(U793&lt;(LOOKUP(E793,WKNrListe,Übersicht!$P$7:$P$46))),"JG falsch",""))</f>
        <v/>
      </c>
      <c r="Y793" s="255" t="str">
        <f>IF((A793="")*(B793=""),"",IF(ISERROR(MATCH(E793,WKNrListe,0)),"WK falsch",LOOKUP(E793,WKNrListe,Übersicht!$B$7:$B$46)))</f>
        <v/>
      </c>
      <c r="Z793" s="269" t="str">
        <f>IF(((AJ793=0)*(AH793&lt;&gt;"")*(AK793="-"))+((AJ793&lt;&gt;0)*(AH793&lt;&gt;"")*(AK793="-")),IF(AG793="X",Übersicht!$C$70,Übersicht!$C$69),"-")</f>
        <v>-</v>
      </c>
      <c r="AA793" s="252" t="str">
        <f>IF((($A793="")*($B793=""))+((MID($Y793,1,4)&lt;&gt;"Wahl")*(Deckblatt!$C$14='WK-Vorlagen'!$C$82))+(Deckblatt!$C$14&lt;&gt;'WK-Vorlagen'!$C$82),"",IF(ISERROR(MATCH(VALUE(MID(G793,1,2)),Schwierigkeitsstufen!$G$7:$G$19,0)),"Gerät falsch",LOOKUP(VALUE(MID(G793,1,2)),Schwierigkeitsstufen!$G$7:$G$19,Schwierigkeitsstufen!$H$7:$H$19)))</f>
        <v/>
      </c>
      <c r="AB793" s="250" t="str">
        <f>IF((($A793="")*($B793=""))+((MID($Y793,1,4)&lt;&gt;"Wahl")*(Deckblatt!$C$14='WK-Vorlagen'!$C$82))+(Deckblatt!$C$14&lt;&gt;'WK-Vorlagen'!$C$82),"",IF(ISERROR(MATCH(VALUE(MID(H793,1,2)),Schwierigkeitsstufen!$G$7:$G$19,0)),"Gerät falsch",LOOKUP(VALUE(MID(H793,1,2)),Schwierigkeitsstufen!$G$7:$G$19,Schwierigkeitsstufen!$H$7:$H$19)))</f>
        <v/>
      </c>
      <c r="AC793" s="250" t="str">
        <f>IF((($A793="")*($B793=""))+((MID($Y793,1,4)&lt;&gt;"Wahl")*(Deckblatt!$C$14='WK-Vorlagen'!$C$82))+(Deckblatt!$C$14&lt;&gt;'WK-Vorlagen'!$C$82),"",IF(ISERROR(MATCH(VALUE(MID(I793,1,2)),Schwierigkeitsstufen!$G$7:$G$19,0)),"Gerät falsch",LOOKUP(VALUE(MID(I793,1,2)),Schwierigkeitsstufen!$G$7:$G$19,Schwierigkeitsstufen!$H$7:$H$19)))</f>
        <v/>
      </c>
      <c r="AD793" s="251" t="str">
        <f>IF((($A793="")*($B793=""))+((MID($Y793,1,4)&lt;&gt;"Wahl")*(Deckblatt!$C$14='WK-Vorlagen'!$C$82))+(Deckblatt!$C$14&lt;&gt;'WK-Vorlagen'!$C$82),"",IF(ISERROR(MATCH(VALUE(MID(J793,1,2)),Schwierigkeitsstufen!$G$7:$G$19,0)),"Gerät falsch",LOOKUP(VALUE(MID(J793,1,2)),Schwierigkeitsstufen!$G$7:$G$19,Schwierigkeitsstufen!$H$7:$H$19)))</f>
        <v/>
      </c>
      <c r="AE793" s="211"/>
      <c r="AG793" s="221" t="str">
        <f t="shared" si="108"/>
        <v/>
      </c>
      <c r="AH793" s="222" t="str">
        <f t="shared" si="110"/>
        <v/>
      </c>
      <c r="AI793" s="220">
        <f t="shared" si="115"/>
        <v>4</v>
      </c>
      <c r="AJ793" s="222">
        <f t="shared" si="111"/>
        <v>0</v>
      </c>
      <c r="AK793" s="299" t="str">
        <f>IF(ISERROR(LOOKUP(E793,WKNrListe,Übersicht!$R$7:$R$46)),"-",LOOKUP(E793,WKNrListe,Übersicht!$R$7:$R$46))</f>
        <v>-</v>
      </c>
      <c r="AL793" s="299" t="str">
        <f t="shared" si="114"/>
        <v>-</v>
      </c>
      <c r="AM793" s="303"/>
      <c r="AN793" s="174" t="str">
        <f t="shared" si="107"/>
        <v>Leer</v>
      </c>
    </row>
    <row r="794" spans="1:40" s="174" customFormat="1" ht="15" customHeight="1">
      <c r="A794" s="63"/>
      <c r="B794" s="63"/>
      <c r="C794" s="84"/>
      <c r="D794" s="85"/>
      <c r="E794" s="62"/>
      <c r="F794" s="62"/>
      <c r="G794" s="62"/>
      <c r="H794" s="62"/>
      <c r="I794" s="62"/>
      <c r="J794" s="62"/>
      <c r="K794" s="62"/>
      <c r="L794" s="62"/>
      <c r="M794" s="62"/>
      <c r="N794" s="62"/>
      <c r="O794" s="62"/>
      <c r="P794" s="62"/>
      <c r="Q794" s="62"/>
      <c r="R794" s="62"/>
      <c r="S794" s="258"/>
      <c r="T794" s="248" t="str">
        <f t="shared" si="112"/>
        <v/>
      </c>
      <c r="U794" s="249" t="str">
        <f t="shared" si="113"/>
        <v/>
      </c>
      <c r="V794" s="294" t="str">
        <f t="shared" si="109"/>
        <v/>
      </c>
      <c r="W794" s="294" t="str">
        <f>IF(((E794="")+(F794="")),"",IF(VLOOKUP(F794,Mannschaften!$A$1:$B$54,2,FALSE)&lt;&gt;E794,"Reiter Mannschaften füllen",""))</f>
        <v/>
      </c>
      <c r="X794" s="248" t="str">
        <f>IF(ISBLANK(C794),"",IF((U794&gt;(LOOKUP(E794,WKNrListe,Übersicht!$O$7:$O$46)))+(U794&lt;(LOOKUP(E794,WKNrListe,Übersicht!$P$7:$P$46))),"JG falsch",""))</f>
        <v/>
      </c>
      <c r="Y794" s="255" t="str">
        <f>IF((A794="")*(B794=""),"",IF(ISERROR(MATCH(E794,WKNrListe,0)),"WK falsch",LOOKUP(E794,WKNrListe,Übersicht!$B$7:$B$46)))</f>
        <v/>
      </c>
      <c r="Z794" s="269" t="str">
        <f>IF(((AJ794=0)*(AH794&lt;&gt;"")*(AK794="-"))+((AJ794&lt;&gt;0)*(AH794&lt;&gt;"")*(AK794="-")),IF(AG794="X",Übersicht!$C$70,Übersicht!$C$69),"-")</f>
        <v>-</v>
      </c>
      <c r="AA794" s="252" t="str">
        <f>IF((($A794="")*($B794=""))+((MID($Y794,1,4)&lt;&gt;"Wahl")*(Deckblatt!$C$14='WK-Vorlagen'!$C$82))+(Deckblatt!$C$14&lt;&gt;'WK-Vorlagen'!$C$82),"",IF(ISERROR(MATCH(VALUE(MID(G794,1,2)),Schwierigkeitsstufen!$G$7:$G$19,0)),"Gerät falsch",LOOKUP(VALUE(MID(G794,1,2)),Schwierigkeitsstufen!$G$7:$G$19,Schwierigkeitsstufen!$H$7:$H$19)))</f>
        <v/>
      </c>
      <c r="AB794" s="250" t="str">
        <f>IF((($A794="")*($B794=""))+((MID($Y794,1,4)&lt;&gt;"Wahl")*(Deckblatt!$C$14='WK-Vorlagen'!$C$82))+(Deckblatt!$C$14&lt;&gt;'WK-Vorlagen'!$C$82),"",IF(ISERROR(MATCH(VALUE(MID(H794,1,2)),Schwierigkeitsstufen!$G$7:$G$19,0)),"Gerät falsch",LOOKUP(VALUE(MID(H794,1,2)),Schwierigkeitsstufen!$G$7:$G$19,Schwierigkeitsstufen!$H$7:$H$19)))</f>
        <v/>
      </c>
      <c r="AC794" s="250" t="str">
        <f>IF((($A794="")*($B794=""))+((MID($Y794,1,4)&lt;&gt;"Wahl")*(Deckblatt!$C$14='WK-Vorlagen'!$C$82))+(Deckblatt!$C$14&lt;&gt;'WK-Vorlagen'!$C$82),"",IF(ISERROR(MATCH(VALUE(MID(I794,1,2)),Schwierigkeitsstufen!$G$7:$G$19,0)),"Gerät falsch",LOOKUP(VALUE(MID(I794,1,2)),Schwierigkeitsstufen!$G$7:$G$19,Schwierigkeitsstufen!$H$7:$H$19)))</f>
        <v/>
      </c>
      <c r="AD794" s="251" t="str">
        <f>IF((($A794="")*($B794=""))+((MID($Y794,1,4)&lt;&gt;"Wahl")*(Deckblatt!$C$14='WK-Vorlagen'!$C$82))+(Deckblatt!$C$14&lt;&gt;'WK-Vorlagen'!$C$82),"",IF(ISERROR(MATCH(VALUE(MID(J794,1,2)),Schwierigkeitsstufen!$G$7:$G$19,0)),"Gerät falsch",LOOKUP(VALUE(MID(J794,1,2)),Schwierigkeitsstufen!$G$7:$G$19,Schwierigkeitsstufen!$H$7:$H$19)))</f>
        <v/>
      </c>
      <c r="AE794" s="211"/>
      <c r="AG794" s="221" t="str">
        <f t="shared" si="108"/>
        <v/>
      </c>
      <c r="AH794" s="222" t="str">
        <f t="shared" si="110"/>
        <v/>
      </c>
      <c r="AI794" s="220">
        <f t="shared" si="115"/>
        <v>4</v>
      </c>
      <c r="AJ794" s="222">
        <f t="shared" si="111"/>
        <v>0</v>
      </c>
      <c r="AK794" s="299" t="str">
        <f>IF(ISERROR(LOOKUP(E794,WKNrListe,Übersicht!$R$7:$R$46)),"-",LOOKUP(E794,WKNrListe,Übersicht!$R$7:$R$46))</f>
        <v>-</v>
      </c>
      <c r="AL794" s="299" t="str">
        <f t="shared" si="114"/>
        <v>-</v>
      </c>
      <c r="AM794" s="303"/>
      <c r="AN794" s="174" t="str">
        <f t="shared" si="107"/>
        <v>Leer</v>
      </c>
    </row>
    <row r="795" spans="1:40" s="174" customFormat="1" ht="15" customHeight="1">
      <c r="A795" s="63"/>
      <c r="B795" s="63"/>
      <c r="C795" s="84"/>
      <c r="D795" s="85"/>
      <c r="E795" s="62"/>
      <c r="F795" s="62"/>
      <c r="G795" s="62"/>
      <c r="H795" s="62"/>
      <c r="I795" s="62"/>
      <c r="J795" s="62"/>
      <c r="K795" s="62"/>
      <c r="L795" s="62"/>
      <c r="M795" s="62"/>
      <c r="N795" s="62"/>
      <c r="O795" s="62"/>
      <c r="P795" s="62"/>
      <c r="Q795" s="62"/>
      <c r="R795" s="62"/>
      <c r="S795" s="258"/>
      <c r="T795" s="248" t="str">
        <f t="shared" si="112"/>
        <v/>
      </c>
      <c r="U795" s="249" t="str">
        <f t="shared" si="113"/>
        <v/>
      </c>
      <c r="V795" s="294" t="str">
        <f t="shared" si="109"/>
        <v/>
      </c>
      <c r="W795" s="294" t="str">
        <f>IF(((E795="")+(F795="")),"",IF(VLOOKUP(F795,Mannschaften!$A$1:$B$54,2,FALSE)&lt;&gt;E795,"Reiter Mannschaften füllen",""))</f>
        <v/>
      </c>
      <c r="X795" s="248" t="str">
        <f>IF(ISBLANK(C795),"",IF((U795&gt;(LOOKUP(E795,WKNrListe,Übersicht!$O$7:$O$46)))+(U795&lt;(LOOKUP(E795,WKNrListe,Übersicht!$P$7:$P$46))),"JG falsch",""))</f>
        <v/>
      </c>
      <c r="Y795" s="255" t="str">
        <f>IF((A795="")*(B795=""),"",IF(ISERROR(MATCH(E795,WKNrListe,0)),"WK falsch",LOOKUP(E795,WKNrListe,Übersicht!$B$7:$B$46)))</f>
        <v/>
      </c>
      <c r="Z795" s="269" t="str">
        <f>IF(((AJ795=0)*(AH795&lt;&gt;"")*(AK795="-"))+((AJ795&lt;&gt;0)*(AH795&lt;&gt;"")*(AK795="-")),IF(AG795="X",Übersicht!$C$70,Übersicht!$C$69),"-")</f>
        <v>-</v>
      </c>
      <c r="AA795" s="252" t="str">
        <f>IF((($A795="")*($B795=""))+((MID($Y795,1,4)&lt;&gt;"Wahl")*(Deckblatt!$C$14='WK-Vorlagen'!$C$82))+(Deckblatt!$C$14&lt;&gt;'WK-Vorlagen'!$C$82),"",IF(ISERROR(MATCH(VALUE(MID(G795,1,2)),Schwierigkeitsstufen!$G$7:$G$19,0)),"Gerät falsch",LOOKUP(VALUE(MID(G795,1,2)),Schwierigkeitsstufen!$G$7:$G$19,Schwierigkeitsstufen!$H$7:$H$19)))</f>
        <v/>
      </c>
      <c r="AB795" s="250" t="str">
        <f>IF((($A795="")*($B795=""))+((MID($Y795,1,4)&lt;&gt;"Wahl")*(Deckblatt!$C$14='WK-Vorlagen'!$C$82))+(Deckblatt!$C$14&lt;&gt;'WK-Vorlagen'!$C$82),"",IF(ISERROR(MATCH(VALUE(MID(H795,1,2)),Schwierigkeitsstufen!$G$7:$G$19,0)),"Gerät falsch",LOOKUP(VALUE(MID(H795,1,2)),Schwierigkeitsstufen!$G$7:$G$19,Schwierigkeitsstufen!$H$7:$H$19)))</f>
        <v/>
      </c>
      <c r="AC795" s="250" t="str">
        <f>IF((($A795="")*($B795=""))+((MID($Y795,1,4)&lt;&gt;"Wahl")*(Deckblatt!$C$14='WK-Vorlagen'!$C$82))+(Deckblatt!$C$14&lt;&gt;'WK-Vorlagen'!$C$82),"",IF(ISERROR(MATCH(VALUE(MID(I795,1,2)),Schwierigkeitsstufen!$G$7:$G$19,0)),"Gerät falsch",LOOKUP(VALUE(MID(I795,1,2)),Schwierigkeitsstufen!$G$7:$G$19,Schwierigkeitsstufen!$H$7:$H$19)))</f>
        <v/>
      </c>
      <c r="AD795" s="251" t="str">
        <f>IF((($A795="")*($B795=""))+((MID($Y795,1,4)&lt;&gt;"Wahl")*(Deckblatt!$C$14='WK-Vorlagen'!$C$82))+(Deckblatt!$C$14&lt;&gt;'WK-Vorlagen'!$C$82),"",IF(ISERROR(MATCH(VALUE(MID(J795,1,2)),Schwierigkeitsstufen!$G$7:$G$19,0)),"Gerät falsch",LOOKUP(VALUE(MID(J795,1,2)),Schwierigkeitsstufen!$G$7:$G$19,Schwierigkeitsstufen!$H$7:$H$19)))</f>
        <v/>
      </c>
      <c r="AE795" s="211"/>
      <c r="AG795" s="221" t="str">
        <f t="shared" si="108"/>
        <v/>
      </c>
      <c r="AH795" s="222" t="str">
        <f t="shared" si="110"/>
        <v/>
      </c>
      <c r="AI795" s="220">
        <f t="shared" si="115"/>
        <v>4</v>
      </c>
      <c r="AJ795" s="222">
        <f t="shared" si="111"/>
        <v>0</v>
      </c>
      <c r="AK795" s="299" t="str">
        <f>IF(ISERROR(LOOKUP(E795,WKNrListe,Übersicht!$R$7:$R$46)),"-",LOOKUP(E795,WKNrListe,Übersicht!$R$7:$R$46))</f>
        <v>-</v>
      </c>
      <c r="AL795" s="299" t="str">
        <f t="shared" si="114"/>
        <v>-</v>
      </c>
      <c r="AM795" s="303"/>
      <c r="AN795" s="174" t="str">
        <f t="shared" si="107"/>
        <v>Leer</v>
      </c>
    </row>
    <row r="796" spans="1:40" s="174" customFormat="1" ht="15" customHeight="1">
      <c r="A796" s="63"/>
      <c r="B796" s="63"/>
      <c r="C796" s="84"/>
      <c r="D796" s="85"/>
      <c r="E796" s="62"/>
      <c r="F796" s="62"/>
      <c r="G796" s="62"/>
      <c r="H796" s="62"/>
      <c r="I796" s="62"/>
      <c r="J796" s="62"/>
      <c r="K796" s="62"/>
      <c r="L796" s="62"/>
      <c r="M796" s="62"/>
      <c r="N796" s="62"/>
      <c r="O796" s="62"/>
      <c r="P796" s="62"/>
      <c r="Q796" s="62"/>
      <c r="R796" s="62"/>
      <c r="S796" s="258"/>
      <c r="T796" s="248" t="str">
        <f t="shared" si="112"/>
        <v/>
      </c>
      <c r="U796" s="249" t="str">
        <f t="shared" si="113"/>
        <v/>
      </c>
      <c r="V796" s="294" t="str">
        <f t="shared" si="109"/>
        <v/>
      </c>
      <c r="W796" s="294" t="str">
        <f>IF(((E796="")+(F796="")),"",IF(VLOOKUP(F796,Mannschaften!$A$1:$B$54,2,FALSE)&lt;&gt;E796,"Reiter Mannschaften füllen",""))</f>
        <v/>
      </c>
      <c r="X796" s="248" t="str">
        <f>IF(ISBLANK(C796),"",IF((U796&gt;(LOOKUP(E796,WKNrListe,Übersicht!$O$7:$O$46)))+(U796&lt;(LOOKUP(E796,WKNrListe,Übersicht!$P$7:$P$46))),"JG falsch",""))</f>
        <v/>
      </c>
      <c r="Y796" s="255" t="str">
        <f>IF((A796="")*(B796=""),"",IF(ISERROR(MATCH(E796,WKNrListe,0)),"WK falsch",LOOKUP(E796,WKNrListe,Übersicht!$B$7:$B$46)))</f>
        <v/>
      </c>
      <c r="Z796" s="269" t="str">
        <f>IF(((AJ796=0)*(AH796&lt;&gt;"")*(AK796="-"))+((AJ796&lt;&gt;0)*(AH796&lt;&gt;"")*(AK796="-")),IF(AG796="X",Übersicht!$C$70,Übersicht!$C$69),"-")</f>
        <v>-</v>
      </c>
      <c r="AA796" s="252" t="str">
        <f>IF((($A796="")*($B796=""))+((MID($Y796,1,4)&lt;&gt;"Wahl")*(Deckblatt!$C$14='WK-Vorlagen'!$C$82))+(Deckblatt!$C$14&lt;&gt;'WK-Vorlagen'!$C$82),"",IF(ISERROR(MATCH(VALUE(MID(G796,1,2)),Schwierigkeitsstufen!$G$7:$G$19,0)),"Gerät falsch",LOOKUP(VALUE(MID(G796,1,2)),Schwierigkeitsstufen!$G$7:$G$19,Schwierigkeitsstufen!$H$7:$H$19)))</f>
        <v/>
      </c>
      <c r="AB796" s="250" t="str">
        <f>IF((($A796="")*($B796=""))+((MID($Y796,1,4)&lt;&gt;"Wahl")*(Deckblatt!$C$14='WK-Vorlagen'!$C$82))+(Deckblatt!$C$14&lt;&gt;'WK-Vorlagen'!$C$82),"",IF(ISERROR(MATCH(VALUE(MID(H796,1,2)),Schwierigkeitsstufen!$G$7:$G$19,0)),"Gerät falsch",LOOKUP(VALUE(MID(H796,1,2)),Schwierigkeitsstufen!$G$7:$G$19,Schwierigkeitsstufen!$H$7:$H$19)))</f>
        <v/>
      </c>
      <c r="AC796" s="250" t="str">
        <f>IF((($A796="")*($B796=""))+((MID($Y796,1,4)&lt;&gt;"Wahl")*(Deckblatt!$C$14='WK-Vorlagen'!$C$82))+(Deckblatt!$C$14&lt;&gt;'WK-Vorlagen'!$C$82),"",IF(ISERROR(MATCH(VALUE(MID(I796,1,2)),Schwierigkeitsstufen!$G$7:$G$19,0)),"Gerät falsch",LOOKUP(VALUE(MID(I796,1,2)),Schwierigkeitsstufen!$G$7:$G$19,Schwierigkeitsstufen!$H$7:$H$19)))</f>
        <v/>
      </c>
      <c r="AD796" s="251" t="str">
        <f>IF((($A796="")*($B796=""))+((MID($Y796,1,4)&lt;&gt;"Wahl")*(Deckblatt!$C$14='WK-Vorlagen'!$C$82))+(Deckblatt!$C$14&lt;&gt;'WK-Vorlagen'!$C$82),"",IF(ISERROR(MATCH(VALUE(MID(J796,1,2)),Schwierigkeitsstufen!$G$7:$G$19,0)),"Gerät falsch",LOOKUP(VALUE(MID(J796,1,2)),Schwierigkeitsstufen!$G$7:$G$19,Schwierigkeitsstufen!$H$7:$H$19)))</f>
        <v/>
      </c>
      <c r="AE796" s="211"/>
      <c r="AG796" s="221" t="str">
        <f t="shared" si="108"/>
        <v/>
      </c>
      <c r="AH796" s="222" t="str">
        <f t="shared" si="110"/>
        <v/>
      </c>
      <c r="AI796" s="220">
        <f t="shared" si="115"/>
        <v>4</v>
      </c>
      <c r="AJ796" s="222">
        <f t="shared" si="111"/>
        <v>0</v>
      </c>
      <c r="AK796" s="299" t="str">
        <f>IF(ISERROR(LOOKUP(E796,WKNrListe,Übersicht!$R$7:$R$46)),"-",LOOKUP(E796,WKNrListe,Übersicht!$R$7:$R$46))</f>
        <v>-</v>
      </c>
      <c r="AL796" s="299" t="str">
        <f t="shared" si="114"/>
        <v>-</v>
      </c>
      <c r="AM796" s="303"/>
      <c r="AN796" s="174" t="str">
        <f t="shared" si="107"/>
        <v>Leer</v>
      </c>
    </row>
    <row r="797" spans="1:40" s="174" customFormat="1" ht="15" customHeight="1">
      <c r="A797" s="63"/>
      <c r="B797" s="63"/>
      <c r="C797" s="84"/>
      <c r="D797" s="85"/>
      <c r="E797" s="62"/>
      <c r="F797" s="62"/>
      <c r="G797" s="62"/>
      <c r="H797" s="62"/>
      <c r="I797" s="62"/>
      <c r="J797" s="62"/>
      <c r="K797" s="62"/>
      <c r="L797" s="62"/>
      <c r="M797" s="62"/>
      <c r="N797" s="62"/>
      <c r="O797" s="62"/>
      <c r="P797" s="62"/>
      <c r="Q797" s="62"/>
      <c r="R797" s="62"/>
      <c r="S797" s="258"/>
      <c r="T797" s="248" t="str">
        <f t="shared" si="112"/>
        <v/>
      </c>
      <c r="U797" s="249" t="str">
        <f t="shared" si="113"/>
        <v/>
      </c>
      <c r="V797" s="294" t="str">
        <f t="shared" si="109"/>
        <v/>
      </c>
      <c r="W797" s="294" t="str">
        <f>IF(((E797="")+(F797="")),"",IF(VLOOKUP(F797,Mannschaften!$A$1:$B$54,2,FALSE)&lt;&gt;E797,"Reiter Mannschaften füllen",""))</f>
        <v/>
      </c>
      <c r="X797" s="248" t="str">
        <f>IF(ISBLANK(C797),"",IF((U797&gt;(LOOKUP(E797,WKNrListe,Übersicht!$O$7:$O$46)))+(U797&lt;(LOOKUP(E797,WKNrListe,Übersicht!$P$7:$P$46))),"JG falsch",""))</f>
        <v/>
      </c>
      <c r="Y797" s="255" t="str">
        <f>IF((A797="")*(B797=""),"",IF(ISERROR(MATCH(E797,WKNrListe,0)),"WK falsch",LOOKUP(E797,WKNrListe,Übersicht!$B$7:$B$46)))</f>
        <v/>
      </c>
      <c r="Z797" s="269" t="str">
        <f>IF(((AJ797=0)*(AH797&lt;&gt;"")*(AK797="-"))+((AJ797&lt;&gt;0)*(AH797&lt;&gt;"")*(AK797="-")),IF(AG797="X",Übersicht!$C$70,Übersicht!$C$69),"-")</f>
        <v>-</v>
      </c>
      <c r="AA797" s="252" t="str">
        <f>IF((($A797="")*($B797=""))+((MID($Y797,1,4)&lt;&gt;"Wahl")*(Deckblatt!$C$14='WK-Vorlagen'!$C$82))+(Deckblatt!$C$14&lt;&gt;'WK-Vorlagen'!$C$82),"",IF(ISERROR(MATCH(VALUE(MID(G797,1,2)),Schwierigkeitsstufen!$G$7:$G$19,0)),"Gerät falsch",LOOKUP(VALUE(MID(G797,1,2)),Schwierigkeitsstufen!$G$7:$G$19,Schwierigkeitsstufen!$H$7:$H$19)))</f>
        <v/>
      </c>
      <c r="AB797" s="250" t="str">
        <f>IF((($A797="")*($B797=""))+((MID($Y797,1,4)&lt;&gt;"Wahl")*(Deckblatt!$C$14='WK-Vorlagen'!$C$82))+(Deckblatt!$C$14&lt;&gt;'WK-Vorlagen'!$C$82),"",IF(ISERROR(MATCH(VALUE(MID(H797,1,2)),Schwierigkeitsstufen!$G$7:$G$19,0)),"Gerät falsch",LOOKUP(VALUE(MID(H797,1,2)),Schwierigkeitsstufen!$G$7:$G$19,Schwierigkeitsstufen!$H$7:$H$19)))</f>
        <v/>
      </c>
      <c r="AC797" s="250" t="str">
        <f>IF((($A797="")*($B797=""))+((MID($Y797,1,4)&lt;&gt;"Wahl")*(Deckblatt!$C$14='WK-Vorlagen'!$C$82))+(Deckblatt!$C$14&lt;&gt;'WK-Vorlagen'!$C$82),"",IF(ISERROR(MATCH(VALUE(MID(I797,1,2)),Schwierigkeitsstufen!$G$7:$G$19,0)),"Gerät falsch",LOOKUP(VALUE(MID(I797,1,2)),Schwierigkeitsstufen!$G$7:$G$19,Schwierigkeitsstufen!$H$7:$H$19)))</f>
        <v/>
      </c>
      <c r="AD797" s="251" t="str">
        <f>IF((($A797="")*($B797=""))+((MID($Y797,1,4)&lt;&gt;"Wahl")*(Deckblatt!$C$14='WK-Vorlagen'!$C$82))+(Deckblatt!$C$14&lt;&gt;'WK-Vorlagen'!$C$82),"",IF(ISERROR(MATCH(VALUE(MID(J797,1,2)),Schwierigkeitsstufen!$G$7:$G$19,0)),"Gerät falsch",LOOKUP(VALUE(MID(J797,1,2)),Schwierigkeitsstufen!$G$7:$G$19,Schwierigkeitsstufen!$H$7:$H$19)))</f>
        <v/>
      </c>
      <c r="AE797" s="211"/>
      <c r="AG797" s="221" t="str">
        <f t="shared" si="108"/>
        <v/>
      </c>
      <c r="AH797" s="222" t="str">
        <f t="shared" si="110"/>
        <v/>
      </c>
      <c r="AI797" s="220">
        <f t="shared" si="115"/>
        <v>4</v>
      </c>
      <c r="AJ797" s="222">
        <f t="shared" si="111"/>
        <v>0</v>
      </c>
      <c r="AK797" s="299" t="str">
        <f>IF(ISERROR(LOOKUP(E797,WKNrListe,Übersicht!$R$7:$R$46)),"-",LOOKUP(E797,WKNrListe,Übersicht!$R$7:$R$46))</f>
        <v>-</v>
      </c>
      <c r="AL797" s="299" t="str">
        <f t="shared" si="114"/>
        <v>-</v>
      </c>
      <c r="AM797" s="303"/>
      <c r="AN797" s="174" t="str">
        <f t="shared" si="107"/>
        <v>Leer</v>
      </c>
    </row>
    <row r="798" spans="1:40" s="174" customFormat="1" ht="15" customHeight="1">
      <c r="A798" s="63"/>
      <c r="B798" s="63"/>
      <c r="C798" s="84"/>
      <c r="D798" s="85"/>
      <c r="E798" s="62"/>
      <c r="F798" s="62"/>
      <c r="G798" s="62"/>
      <c r="H798" s="62"/>
      <c r="I798" s="62"/>
      <c r="J798" s="62"/>
      <c r="K798" s="62"/>
      <c r="L798" s="62"/>
      <c r="M798" s="62"/>
      <c r="N798" s="62"/>
      <c r="O798" s="62"/>
      <c r="P798" s="62"/>
      <c r="Q798" s="62"/>
      <c r="R798" s="62"/>
      <c r="S798" s="258"/>
      <c r="T798" s="248" t="str">
        <f t="shared" si="112"/>
        <v/>
      </c>
      <c r="U798" s="249" t="str">
        <f t="shared" si="113"/>
        <v/>
      </c>
      <c r="V798" s="294" t="str">
        <f t="shared" si="109"/>
        <v/>
      </c>
      <c r="W798" s="294" t="str">
        <f>IF(((E798="")+(F798="")),"",IF(VLOOKUP(F798,Mannschaften!$A$1:$B$54,2,FALSE)&lt;&gt;E798,"Reiter Mannschaften füllen",""))</f>
        <v/>
      </c>
      <c r="X798" s="248" t="str">
        <f>IF(ISBLANK(C798),"",IF((U798&gt;(LOOKUP(E798,WKNrListe,Übersicht!$O$7:$O$46)))+(U798&lt;(LOOKUP(E798,WKNrListe,Übersicht!$P$7:$P$46))),"JG falsch",""))</f>
        <v/>
      </c>
      <c r="Y798" s="255" t="str">
        <f>IF((A798="")*(B798=""),"",IF(ISERROR(MATCH(E798,WKNrListe,0)),"WK falsch",LOOKUP(E798,WKNrListe,Übersicht!$B$7:$B$46)))</f>
        <v/>
      </c>
      <c r="Z798" s="269" t="str">
        <f>IF(((AJ798=0)*(AH798&lt;&gt;"")*(AK798="-"))+((AJ798&lt;&gt;0)*(AH798&lt;&gt;"")*(AK798="-")),IF(AG798="X",Übersicht!$C$70,Übersicht!$C$69),"-")</f>
        <v>-</v>
      </c>
      <c r="AA798" s="252" t="str">
        <f>IF((($A798="")*($B798=""))+((MID($Y798,1,4)&lt;&gt;"Wahl")*(Deckblatt!$C$14='WK-Vorlagen'!$C$82))+(Deckblatt!$C$14&lt;&gt;'WK-Vorlagen'!$C$82),"",IF(ISERROR(MATCH(VALUE(MID(G798,1,2)),Schwierigkeitsstufen!$G$7:$G$19,0)),"Gerät falsch",LOOKUP(VALUE(MID(G798,1,2)),Schwierigkeitsstufen!$G$7:$G$19,Schwierigkeitsstufen!$H$7:$H$19)))</f>
        <v/>
      </c>
      <c r="AB798" s="250" t="str">
        <f>IF((($A798="")*($B798=""))+((MID($Y798,1,4)&lt;&gt;"Wahl")*(Deckblatt!$C$14='WK-Vorlagen'!$C$82))+(Deckblatt!$C$14&lt;&gt;'WK-Vorlagen'!$C$82),"",IF(ISERROR(MATCH(VALUE(MID(H798,1,2)),Schwierigkeitsstufen!$G$7:$G$19,0)),"Gerät falsch",LOOKUP(VALUE(MID(H798,1,2)),Schwierigkeitsstufen!$G$7:$G$19,Schwierigkeitsstufen!$H$7:$H$19)))</f>
        <v/>
      </c>
      <c r="AC798" s="250" t="str">
        <f>IF((($A798="")*($B798=""))+((MID($Y798,1,4)&lt;&gt;"Wahl")*(Deckblatt!$C$14='WK-Vorlagen'!$C$82))+(Deckblatt!$C$14&lt;&gt;'WK-Vorlagen'!$C$82),"",IF(ISERROR(MATCH(VALUE(MID(I798,1,2)),Schwierigkeitsstufen!$G$7:$G$19,0)),"Gerät falsch",LOOKUP(VALUE(MID(I798,1,2)),Schwierigkeitsstufen!$G$7:$G$19,Schwierigkeitsstufen!$H$7:$H$19)))</f>
        <v/>
      </c>
      <c r="AD798" s="251" t="str">
        <f>IF((($A798="")*($B798=""))+((MID($Y798,1,4)&lt;&gt;"Wahl")*(Deckblatt!$C$14='WK-Vorlagen'!$C$82))+(Deckblatt!$C$14&lt;&gt;'WK-Vorlagen'!$C$82),"",IF(ISERROR(MATCH(VALUE(MID(J798,1,2)),Schwierigkeitsstufen!$G$7:$G$19,0)),"Gerät falsch",LOOKUP(VALUE(MID(J798,1,2)),Schwierigkeitsstufen!$G$7:$G$19,Schwierigkeitsstufen!$H$7:$H$19)))</f>
        <v/>
      </c>
      <c r="AE798" s="211"/>
      <c r="AG798" s="221" t="str">
        <f t="shared" si="108"/>
        <v/>
      </c>
      <c r="AH798" s="222" t="str">
        <f t="shared" si="110"/>
        <v/>
      </c>
      <c r="AI798" s="220">
        <f t="shared" si="115"/>
        <v>4</v>
      </c>
      <c r="AJ798" s="222">
        <f t="shared" si="111"/>
        <v>0</v>
      </c>
      <c r="AK798" s="299" t="str">
        <f>IF(ISERROR(LOOKUP(E798,WKNrListe,Übersicht!$R$7:$R$46)),"-",LOOKUP(E798,WKNrListe,Übersicht!$R$7:$R$46))</f>
        <v>-</v>
      </c>
      <c r="AL798" s="299" t="str">
        <f t="shared" si="114"/>
        <v>-</v>
      </c>
      <c r="AM798" s="303"/>
      <c r="AN798" s="174" t="str">
        <f t="shared" si="107"/>
        <v>Leer</v>
      </c>
    </row>
    <row r="799" spans="1:40" s="174" customFormat="1" ht="15" customHeight="1">
      <c r="A799" s="63"/>
      <c r="B799" s="63"/>
      <c r="C799" s="84"/>
      <c r="D799" s="85"/>
      <c r="E799" s="62"/>
      <c r="F799" s="62"/>
      <c r="G799" s="62"/>
      <c r="H799" s="62"/>
      <c r="I799" s="62"/>
      <c r="J799" s="62"/>
      <c r="K799" s="62"/>
      <c r="L799" s="62"/>
      <c r="M799" s="62"/>
      <c r="N799" s="62"/>
      <c r="O799" s="62"/>
      <c r="P799" s="62"/>
      <c r="Q799" s="62"/>
      <c r="R799" s="62"/>
      <c r="S799" s="258"/>
      <c r="T799" s="248" t="str">
        <f t="shared" si="112"/>
        <v/>
      </c>
      <c r="U799" s="249" t="str">
        <f t="shared" si="113"/>
        <v/>
      </c>
      <c r="V799" s="294" t="str">
        <f t="shared" si="109"/>
        <v/>
      </c>
      <c r="W799" s="294" t="str">
        <f>IF(((E799="")+(F799="")),"",IF(VLOOKUP(F799,Mannschaften!$A$1:$B$54,2,FALSE)&lt;&gt;E799,"Reiter Mannschaften füllen",""))</f>
        <v/>
      </c>
      <c r="X799" s="248" t="str">
        <f>IF(ISBLANK(C799),"",IF((U799&gt;(LOOKUP(E799,WKNrListe,Übersicht!$O$7:$O$46)))+(U799&lt;(LOOKUP(E799,WKNrListe,Übersicht!$P$7:$P$46))),"JG falsch",""))</f>
        <v/>
      </c>
      <c r="Y799" s="255" t="str">
        <f>IF((A799="")*(B799=""),"",IF(ISERROR(MATCH(E799,WKNrListe,0)),"WK falsch",LOOKUP(E799,WKNrListe,Übersicht!$B$7:$B$46)))</f>
        <v/>
      </c>
      <c r="Z799" s="269" t="str">
        <f>IF(((AJ799=0)*(AH799&lt;&gt;"")*(AK799="-"))+((AJ799&lt;&gt;0)*(AH799&lt;&gt;"")*(AK799="-")),IF(AG799="X",Übersicht!$C$70,Übersicht!$C$69),"-")</f>
        <v>-</v>
      </c>
      <c r="AA799" s="252" t="str">
        <f>IF((($A799="")*($B799=""))+((MID($Y799,1,4)&lt;&gt;"Wahl")*(Deckblatt!$C$14='WK-Vorlagen'!$C$82))+(Deckblatt!$C$14&lt;&gt;'WK-Vorlagen'!$C$82),"",IF(ISERROR(MATCH(VALUE(MID(G799,1,2)),Schwierigkeitsstufen!$G$7:$G$19,0)),"Gerät falsch",LOOKUP(VALUE(MID(G799,1,2)),Schwierigkeitsstufen!$G$7:$G$19,Schwierigkeitsstufen!$H$7:$H$19)))</f>
        <v/>
      </c>
      <c r="AB799" s="250" t="str">
        <f>IF((($A799="")*($B799=""))+((MID($Y799,1,4)&lt;&gt;"Wahl")*(Deckblatt!$C$14='WK-Vorlagen'!$C$82))+(Deckblatt!$C$14&lt;&gt;'WK-Vorlagen'!$C$82),"",IF(ISERROR(MATCH(VALUE(MID(H799,1,2)),Schwierigkeitsstufen!$G$7:$G$19,0)),"Gerät falsch",LOOKUP(VALUE(MID(H799,1,2)),Schwierigkeitsstufen!$G$7:$G$19,Schwierigkeitsstufen!$H$7:$H$19)))</f>
        <v/>
      </c>
      <c r="AC799" s="250" t="str">
        <f>IF((($A799="")*($B799=""))+((MID($Y799,1,4)&lt;&gt;"Wahl")*(Deckblatt!$C$14='WK-Vorlagen'!$C$82))+(Deckblatt!$C$14&lt;&gt;'WK-Vorlagen'!$C$82),"",IF(ISERROR(MATCH(VALUE(MID(I799,1,2)),Schwierigkeitsstufen!$G$7:$G$19,0)),"Gerät falsch",LOOKUP(VALUE(MID(I799,1,2)),Schwierigkeitsstufen!$G$7:$G$19,Schwierigkeitsstufen!$H$7:$H$19)))</f>
        <v/>
      </c>
      <c r="AD799" s="251" t="str">
        <f>IF((($A799="")*($B799=""))+((MID($Y799,1,4)&lt;&gt;"Wahl")*(Deckblatt!$C$14='WK-Vorlagen'!$C$82))+(Deckblatt!$C$14&lt;&gt;'WK-Vorlagen'!$C$82),"",IF(ISERROR(MATCH(VALUE(MID(J799,1,2)),Schwierigkeitsstufen!$G$7:$G$19,0)),"Gerät falsch",LOOKUP(VALUE(MID(J799,1,2)),Schwierigkeitsstufen!$G$7:$G$19,Schwierigkeitsstufen!$H$7:$H$19)))</f>
        <v/>
      </c>
      <c r="AE799" s="211"/>
      <c r="AG799" s="221" t="str">
        <f t="shared" si="108"/>
        <v/>
      </c>
      <c r="AH799" s="222" t="str">
        <f t="shared" si="110"/>
        <v/>
      </c>
      <c r="AI799" s="220">
        <f t="shared" si="115"/>
        <v>4</v>
      </c>
      <c r="AJ799" s="222">
        <f t="shared" si="111"/>
        <v>0</v>
      </c>
      <c r="AK799" s="299" t="str">
        <f>IF(ISERROR(LOOKUP(E799,WKNrListe,Übersicht!$R$7:$R$46)),"-",LOOKUP(E799,WKNrListe,Übersicht!$R$7:$R$46))</f>
        <v>-</v>
      </c>
      <c r="AL799" s="299" t="str">
        <f t="shared" si="114"/>
        <v>-</v>
      </c>
      <c r="AM799" s="303"/>
      <c r="AN799" s="174" t="str">
        <f t="shared" si="107"/>
        <v>Leer</v>
      </c>
    </row>
    <row r="800" spans="1:40" s="174" customFormat="1" ht="15" customHeight="1">
      <c r="A800" s="63"/>
      <c r="B800" s="63"/>
      <c r="C800" s="84"/>
      <c r="D800" s="85"/>
      <c r="E800" s="62"/>
      <c r="F800" s="62"/>
      <c r="G800" s="62"/>
      <c r="H800" s="62"/>
      <c r="I800" s="62"/>
      <c r="J800" s="62"/>
      <c r="K800" s="62"/>
      <c r="L800" s="62"/>
      <c r="M800" s="62"/>
      <c r="N800" s="62"/>
      <c r="O800" s="62"/>
      <c r="P800" s="62"/>
      <c r="Q800" s="62"/>
      <c r="R800" s="62"/>
      <c r="S800" s="258"/>
      <c r="T800" s="248" t="str">
        <f t="shared" si="112"/>
        <v/>
      </c>
      <c r="U800" s="249" t="str">
        <f t="shared" si="113"/>
        <v/>
      </c>
      <c r="V800" s="294" t="str">
        <f t="shared" si="109"/>
        <v/>
      </c>
      <c r="W800" s="294" t="str">
        <f>IF(((E800="")+(F800="")),"",IF(VLOOKUP(F800,Mannschaften!$A$1:$B$54,2,FALSE)&lt;&gt;E800,"Reiter Mannschaften füllen",""))</f>
        <v/>
      </c>
      <c r="X800" s="248" t="str">
        <f>IF(ISBLANK(C800),"",IF((U800&gt;(LOOKUP(E800,WKNrListe,Übersicht!$O$7:$O$46)))+(U800&lt;(LOOKUP(E800,WKNrListe,Übersicht!$P$7:$P$46))),"JG falsch",""))</f>
        <v/>
      </c>
      <c r="Y800" s="255" t="str">
        <f>IF((A800="")*(B800=""),"",IF(ISERROR(MATCH(E800,WKNrListe,0)),"WK falsch",LOOKUP(E800,WKNrListe,Übersicht!$B$7:$B$46)))</f>
        <v/>
      </c>
      <c r="Z800" s="269" t="str">
        <f>IF(((AJ800=0)*(AH800&lt;&gt;"")*(AK800="-"))+((AJ800&lt;&gt;0)*(AH800&lt;&gt;"")*(AK800="-")),IF(AG800="X",Übersicht!$C$70,Übersicht!$C$69),"-")</f>
        <v>-</v>
      </c>
      <c r="AA800" s="252" t="str">
        <f>IF((($A800="")*($B800=""))+((MID($Y800,1,4)&lt;&gt;"Wahl")*(Deckblatt!$C$14='WK-Vorlagen'!$C$82))+(Deckblatt!$C$14&lt;&gt;'WK-Vorlagen'!$C$82),"",IF(ISERROR(MATCH(VALUE(MID(G800,1,2)),Schwierigkeitsstufen!$G$7:$G$19,0)),"Gerät falsch",LOOKUP(VALUE(MID(G800,1,2)),Schwierigkeitsstufen!$G$7:$G$19,Schwierigkeitsstufen!$H$7:$H$19)))</f>
        <v/>
      </c>
      <c r="AB800" s="250" t="str">
        <f>IF((($A800="")*($B800=""))+((MID($Y800,1,4)&lt;&gt;"Wahl")*(Deckblatt!$C$14='WK-Vorlagen'!$C$82))+(Deckblatt!$C$14&lt;&gt;'WK-Vorlagen'!$C$82),"",IF(ISERROR(MATCH(VALUE(MID(H800,1,2)),Schwierigkeitsstufen!$G$7:$G$19,0)),"Gerät falsch",LOOKUP(VALUE(MID(H800,1,2)),Schwierigkeitsstufen!$G$7:$G$19,Schwierigkeitsstufen!$H$7:$H$19)))</f>
        <v/>
      </c>
      <c r="AC800" s="250" t="str">
        <f>IF((($A800="")*($B800=""))+((MID($Y800,1,4)&lt;&gt;"Wahl")*(Deckblatt!$C$14='WK-Vorlagen'!$C$82))+(Deckblatt!$C$14&lt;&gt;'WK-Vorlagen'!$C$82),"",IF(ISERROR(MATCH(VALUE(MID(I800,1,2)),Schwierigkeitsstufen!$G$7:$G$19,0)),"Gerät falsch",LOOKUP(VALUE(MID(I800,1,2)),Schwierigkeitsstufen!$G$7:$G$19,Schwierigkeitsstufen!$H$7:$H$19)))</f>
        <v/>
      </c>
      <c r="AD800" s="251" t="str">
        <f>IF((($A800="")*($B800=""))+((MID($Y800,1,4)&lt;&gt;"Wahl")*(Deckblatt!$C$14='WK-Vorlagen'!$C$82))+(Deckblatt!$C$14&lt;&gt;'WK-Vorlagen'!$C$82),"",IF(ISERROR(MATCH(VALUE(MID(J800,1,2)),Schwierigkeitsstufen!$G$7:$G$19,0)),"Gerät falsch",LOOKUP(VALUE(MID(J800,1,2)),Schwierigkeitsstufen!$G$7:$G$19,Schwierigkeitsstufen!$H$7:$H$19)))</f>
        <v/>
      </c>
      <c r="AE800" s="211"/>
      <c r="AG800" s="221" t="str">
        <f t="shared" si="108"/>
        <v/>
      </c>
      <c r="AH800" s="222" t="str">
        <f t="shared" si="110"/>
        <v/>
      </c>
      <c r="AI800" s="220">
        <f t="shared" si="115"/>
        <v>4</v>
      </c>
      <c r="AJ800" s="222">
        <f t="shared" si="111"/>
        <v>0</v>
      </c>
      <c r="AK800" s="299" t="str">
        <f>IF(ISERROR(LOOKUP(E800,WKNrListe,Übersicht!$R$7:$R$46)),"-",LOOKUP(E800,WKNrListe,Übersicht!$R$7:$R$46))</f>
        <v>-</v>
      </c>
      <c r="AL800" s="299" t="str">
        <f t="shared" si="114"/>
        <v>-</v>
      </c>
      <c r="AM800" s="303"/>
      <c r="AN800" s="174" t="str">
        <f t="shared" si="107"/>
        <v>Leer</v>
      </c>
    </row>
    <row r="801" spans="1:40" s="174" customFormat="1" ht="15" customHeight="1">
      <c r="A801" s="63"/>
      <c r="B801" s="63"/>
      <c r="C801" s="84"/>
      <c r="D801" s="85"/>
      <c r="E801" s="62"/>
      <c r="F801" s="62"/>
      <c r="G801" s="62"/>
      <c r="H801" s="62"/>
      <c r="I801" s="62"/>
      <c r="J801" s="62"/>
      <c r="K801" s="62"/>
      <c r="L801" s="62"/>
      <c r="M801" s="62"/>
      <c r="N801" s="62"/>
      <c r="O801" s="62"/>
      <c r="P801" s="62"/>
      <c r="Q801" s="62"/>
      <c r="R801" s="62"/>
      <c r="S801" s="258"/>
      <c r="T801" s="248" t="str">
        <f t="shared" si="112"/>
        <v/>
      </c>
      <c r="U801" s="249" t="str">
        <f t="shared" si="113"/>
        <v/>
      </c>
      <c r="V801" s="294" t="str">
        <f t="shared" si="109"/>
        <v/>
      </c>
      <c r="W801" s="294" t="str">
        <f>IF(((E801="")+(F801="")),"",IF(VLOOKUP(F801,Mannschaften!$A$1:$B$54,2,FALSE)&lt;&gt;E801,"Reiter Mannschaften füllen",""))</f>
        <v/>
      </c>
      <c r="X801" s="248" t="str">
        <f>IF(ISBLANK(C801),"",IF((U801&gt;(LOOKUP(E801,WKNrListe,Übersicht!$O$7:$O$46)))+(U801&lt;(LOOKUP(E801,WKNrListe,Übersicht!$P$7:$P$46))),"JG falsch",""))</f>
        <v/>
      </c>
      <c r="Y801" s="255" t="str">
        <f>IF((A801="")*(B801=""),"",IF(ISERROR(MATCH(E801,WKNrListe,0)),"WK falsch",LOOKUP(E801,WKNrListe,Übersicht!$B$7:$B$46)))</f>
        <v/>
      </c>
      <c r="Z801" s="269" t="str">
        <f>IF(((AJ801=0)*(AH801&lt;&gt;"")*(AK801="-"))+((AJ801&lt;&gt;0)*(AH801&lt;&gt;"")*(AK801="-")),IF(AG801="X",Übersicht!$C$70,Übersicht!$C$69),"-")</f>
        <v>-</v>
      </c>
      <c r="AA801" s="252" t="str">
        <f>IF((($A801="")*($B801=""))+((MID($Y801,1,4)&lt;&gt;"Wahl")*(Deckblatt!$C$14='WK-Vorlagen'!$C$82))+(Deckblatt!$C$14&lt;&gt;'WK-Vorlagen'!$C$82),"",IF(ISERROR(MATCH(VALUE(MID(G801,1,2)),Schwierigkeitsstufen!$G$7:$G$19,0)),"Gerät falsch",LOOKUP(VALUE(MID(G801,1,2)),Schwierigkeitsstufen!$G$7:$G$19,Schwierigkeitsstufen!$H$7:$H$19)))</f>
        <v/>
      </c>
      <c r="AB801" s="250" t="str">
        <f>IF((($A801="")*($B801=""))+((MID($Y801,1,4)&lt;&gt;"Wahl")*(Deckblatt!$C$14='WK-Vorlagen'!$C$82))+(Deckblatt!$C$14&lt;&gt;'WK-Vorlagen'!$C$82),"",IF(ISERROR(MATCH(VALUE(MID(H801,1,2)),Schwierigkeitsstufen!$G$7:$G$19,0)),"Gerät falsch",LOOKUP(VALUE(MID(H801,1,2)),Schwierigkeitsstufen!$G$7:$G$19,Schwierigkeitsstufen!$H$7:$H$19)))</f>
        <v/>
      </c>
      <c r="AC801" s="250" t="str">
        <f>IF((($A801="")*($B801=""))+((MID($Y801,1,4)&lt;&gt;"Wahl")*(Deckblatt!$C$14='WK-Vorlagen'!$C$82))+(Deckblatt!$C$14&lt;&gt;'WK-Vorlagen'!$C$82),"",IF(ISERROR(MATCH(VALUE(MID(I801,1,2)),Schwierigkeitsstufen!$G$7:$G$19,0)),"Gerät falsch",LOOKUP(VALUE(MID(I801,1,2)),Schwierigkeitsstufen!$G$7:$G$19,Schwierigkeitsstufen!$H$7:$H$19)))</f>
        <v/>
      </c>
      <c r="AD801" s="251" t="str">
        <f>IF((($A801="")*($B801=""))+((MID($Y801,1,4)&lt;&gt;"Wahl")*(Deckblatt!$C$14='WK-Vorlagen'!$C$82))+(Deckblatt!$C$14&lt;&gt;'WK-Vorlagen'!$C$82),"",IF(ISERROR(MATCH(VALUE(MID(J801,1,2)),Schwierigkeitsstufen!$G$7:$G$19,0)),"Gerät falsch",LOOKUP(VALUE(MID(J801,1,2)),Schwierigkeitsstufen!$G$7:$G$19,Schwierigkeitsstufen!$H$7:$H$19)))</f>
        <v/>
      </c>
      <c r="AE801" s="211"/>
      <c r="AG801" s="221" t="str">
        <f t="shared" si="108"/>
        <v/>
      </c>
      <c r="AH801" s="222" t="str">
        <f t="shared" si="110"/>
        <v/>
      </c>
      <c r="AI801" s="220">
        <f t="shared" si="115"/>
        <v>4</v>
      </c>
      <c r="AJ801" s="222">
        <f t="shared" si="111"/>
        <v>0</v>
      </c>
      <c r="AK801" s="299" t="str">
        <f>IF(ISERROR(LOOKUP(E801,WKNrListe,Übersicht!$R$7:$R$46)),"-",LOOKUP(E801,WKNrListe,Übersicht!$R$7:$R$46))</f>
        <v>-</v>
      </c>
      <c r="AL801" s="299" t="str">
        <f t="shared" si="114"/>
        <v>-</v>
      </c>
      <c r="AM801" s="303"/>
      <c r="AN801" s="174" t="str">
        <f t="shared" si="107"/>
        <v>Leer</v>
      </c>
    </row>
    <row r="802" spans="1:40" s="174" customFormat="1" ht="15" customHeight="1">
      <c r="A802" s="63"/>
      <c r="B802" s="63"/>
      <c r="C802" s="84"/>
      <c r="D802" s="85"/>
      <c r="E802" s="62"/>
      <c r="F802" s="62"/>
      <c r="G802" s="62"/>
      <c r="H802" s="62"/>
      <c r="I802" s="62"/>
      <c r="J802" s="62"/>
      <c r="K802" s="62"/>
      <c r="L802" s="62"/>
      <c r="M802" s="62"/>
      <c r="N802" s="62"/>
      <c r="O802" s="62"/>
      <c r="P802" s="62"/>
      <c r="Q802" s="62"/>
      <c r="R802" s="62"/>
      <c r="S802" s="258"/>
      <c r="T802" s="248" t="str">
        <f t="shared" si="112"/>
        <v/>
      </c>
      <c r="U802" s="249" t="str">
        <f t="shared" si="113"/>
        <v/>
      </c>
      <c r="V802" s="294" t="str">
        <f t="shared" si="109"/>
        <v/>
      </c>
      <c r="W802" s="294" t="str">
        <f>IF(((E802="")+(F802="")),"",IF(VLOOKUP(F802,Mannschaften!$A$1:$B$54,2,FALSE)&lt;&gt;E802,"Reiter Mannschaften füllen",""))</f>
        <v/>
      </c>
      <c r="X802" s="248" t="str">
        <f>IF(ISBLANK(C802),"",IF((U802&gt;(LOOKUP(E802,WKNrListe,Übersicht!$O$7:$O$46)))+(U802&lt;(LOOKUP(E802,WKNrListe,Übersicht!$P$7:$P$46))),"JG falsch",""))</f>
        <v/>
      </c>
      <c r="Y802" s="255" t="str">
        <f>IF((A802="")*(B802=""),"",IF(ISERROR(MATCH(E802,WKNrListe,0)),"WK falsch",LOOKUP(E802,WKNrListe,Übersicht!$B$7:$B$46)))</f>
        <v/>
      </c>
      <c r="Z802" s="269" t="str">
        <f>IF(((AJ802=0)*(AH802&lt;&gt;"")*(AK802="-"))+((AJ802&lt;&gt;0)*(AH802&lt;&gt;"")*(AK802="-")),IF(AG802="X",Übersicht!$C$70,Übersicht!$C$69),"-")</f>
        <v>-</v>
      </c>
      <c r="AA802" s="252" t="str">
        <f>IF((($A802="")*($B802=""))+((MID($Y802,1,4)&lt;&gt;"Wahl")*(Deckblatt!$C$14='WK-Vorlagen'!$C$82))+(Deckblatt!$C$14&lt;&gt;'WK-Vorlagen'!$C$82),"",IF(ISERROR(MATCH(VALUE(MID(G802,1,2)),Schwierigkeitsstufen!$G$7:$G$19,0)),"Gerät falsch",LOOKUP(VALUE(MID(G802,1,2)),Schwierigkeitsstufen!$G$7:$G$19,Schwierigkeitsstufen!$H$7:$H$19)))</f>
        <v/>
      </c>
      <c r="AB802" s="250" t="str">
        <f>IF((($A802="")*($B802=""))+((MID($Y802,1,4)&lt;&gt;"Wahl")*(Deckblatt!$C$14='WK-Vorlagen'!$C$82))+(Deckblatt!$C$14&lt;&gt;'WK-Vorlagen'!$C$82),"",IF(ISERROR(MATCH(VALUE(MID(H802,1,2)),Schwierigkeitsstufen!$G$7:$G$19,0)),"Gerät falsch",LOOKUP(VALUE(MID(H802,1,2)),Schwierigkeitsstufen!$G$7:$G$19,Schwierigkeitsstufen!$H$7:$H$19)))</f>
        <v/>
      </c>
      <c r="AC802" s="250" t="str">
        <f>IF((($A802="")*($B802=""))+((MID($Y802,1,4)&lt;&gt;"Wahl")*(Deckblatt!$C$14='WK-Vorlagen'!$C$82))+(Deckblatt!$C$14&lt;&gt;'WK-Vorlagen'!$C$82),"",IF(ISERROR(MATCH(VALUE(MID(I802,1,2)),Schwierigkeitsstufen!$G$7:$G$19,0)),"Gerät falsch",LOOKUP(VALUE(MID(I802,1,2)),Schwierigkeitsstufen!$G$7:$G$19,Schwierigkeitsstufen!$H$7:$H$19)))</f>
        <v/>
      </c>
      <c r="AD802" s="251" t="str">
        <f>IF((($A802="")*($B802=""))+((MID($Y802,1,4)&lt;&gt;"Wahl")*(Deckblatt!$C$14='WK-Vorlagen'!$C$82))+(Deckblatt!$C$14&lt;&gt;'WK-Vorlagen'!$C$82),"",IF(ISERROR(MATCH(VALUE(MID(J802,1,2)),Schwierigkeitsstufen!$G$7:$G$19,0)),"Gerät falsch",LOOKUP(VALUE(MID(J802,1,2)),Schwierigkeitsstufen!$G$7:$G$19,Schwierigkeitsstufen!$H$7:$H$19)))</f>
        <v/>
      </c>
      <c r="AE802" s="211"/>
      <c r="AG802" s="221" t="str">
        <f t="shared" si="108"/>
        <v/>
      </c>
      <c r="AH802" s="222" t="str">
        <f t="shared" si="110"/>
        <v/>
      </c>
      <c r="AI802" s="220">
        <f t="shared" si="115"/>
        <v>4</v>
      </c>
      <c r="AJ802" s="222">
        <f t="shared" si="111"/>
        <v>0</v>
      </c>
      <c r="AK802" s="299" t="str">
        <f>IF(ISERROR(LOOKUP(E802,WKNrListe,Übersicht!$R$7:$R$46)),"-",LOOKUP(E802,WKNrListe,Übersicht!$R$7:$R$46))</f>
        <v>-</v>
      </c>
      <c r="AL802" s="299" t="str">
        <f t="shared" si="114"/>
        <v>-</v>
      </c>
      <c r="AM802" s="303"/>
      <c r="AN802" s="174" t="str">
        <f t="shared" si="107"/>
        <v>Leer</v>
      </c>
    </row>
    <row r="803" spans="1:40" s="174" customFormat="1" ht="15" customHeight="1">
      <c r="A803" s="63"/>
      <c r="B803" s="63"/>
      <c r="C803" s="84"/>
      <c r="D803" s="85"/>
      <c r="E803" s="62"/>
      <c r="F803" s="62"/>
      <c r="G803" s="62"/>
      <c r="H803" s="62"/>
      <c r="I803" s="62"/>
      <c r="J803" s="62"/>
      <c r="K803" s="62"/>
      <c r="L803" s="62"/>
      <c r="M803" s="62"/>
      <c r="N803" s="62"/>
      <c r="O803" s="62"/>
      <c r="P803" s="62"/>
      <c r="Q803" s="62"/>
      <c r="R803" s="62"/>
      <c r="S803" s="258"/>
      <c r="T803" s="248" t="str">
        <f t="shared" si="112"/>
        <v/>
      </c>
      <c r="U803" s="249" t="str">
        <f t="shared" si="113"/>
        <v/>
      </c>
      <c r="V803" s="294" t="str">
        <f t="shared" si="109"/>
        <v/>
      </c>
      <c r="W803" s="294" t="str">
        <f>IF(((E803="")+(F803="")),"",IF(VLOOKUP(F803,Mannschaften!$A$1:$B$54,2,FALSE)&lt;&gt;E803,"Reiter Mannschaften füllen",""))</f>
        <v/>
      </c>
      <c r="X803" s="248" t="str">
        <f>IF(ISBLANK(C803),"",IF((U803&gt;(LOOKUP(E803,WKNrListe,Übersicht!$O$7:$O$46)))+(U803&lt;(LOOKUP(E803,WKNrListe,Übersicht!$P$7:$P$46))),"JG falsch",""))</f>
        <v/>
      </c>
      <c r="Y803" s="255" t="str">
        <f>IF((A803="")*(B803=""),"",IF(ISERROR(MATCH(E803,WKNrListe,0)),"WK falsch",LOOKUP(E803,WKNrListe,Übersicht!$B$7:$B$46)))</f>
        <v/>
      </c>
      <c r="Z803" s="269" t="str">
        <f>IF(((AJ803=0)*(AH803&lt;&gt;"")*(AK803="-"))+((AJ803&lt;&gt;0)*(AH803&lt;&gt;"")*(AK803="-")),IF(AG803="X",Übersicht!$C$70,Übersicht!$C$69),"-")</f>
        <v>-</v>
      </c>
      <c r="AA803" s="252" t="str">
        <f>IF((($A803="")*($B803=""))+((MID($Y803,1,4)&lt;&gt;"Wahl")*(Deckblatt!$C$14='WK-Vorlagen'!$C$82))+(Deckblatt!$C$14&lt;&gt;'WK-Vorlagen'!$C$82),"",IF(ISERROR(MATCH(VALUE(MID(G803,1,2)),Schwierigkeitsstufen!$G$7:$G$19,0)),"Gerät falsch",LOOKUP(VALUE(MID(G803,1,2)),Schwierigkeitsstufen!$G$7:$G$19,Schwierigkeitsstufen!$H$7:$H$19)))</f>
        <v/>
      </c>
      <c r="AB803" s="250" t="str">
        <f>IF((($A803="")*($B803=""))+((MID($Y803,1,4)&lt;&gt;"Wahl")*(Deckblatt!$C$14='WK-Vorlagen'!$C$82))+(Deckblatt!$C$14&lt;&gt;'WK-Vorlagen'!$C$82),"",IF(ISERROR(MATCH(VALUE(MID(H803,1,2)),Schwierigkeitsstufen!$G$7:$G$19,0)),"Gerät falsch",LOOKUP(VALUE(MID(H803,1,2)),Schwierigkeitsstufen!$G$7:$G$19,Schwierigkeitsstufen!$H$7:$H$19)))</f>
        <v/>
      </c>
      <c r="AC803" s="250" t="str">
        <f>IF((($A803="")*($B803=""))+((MID($Y803,1,4)&lt;&gt;"Wahl")*(Deckblatt!$C$14='WK-Vorlagen'!$C$82))+(Deckblatt!$C$14&lt;&gt;'WK-Vorlagen'!$C$82),"",IF(ISERROR(MATCH(VALUE(MID(I803,1,2)),Schwierigkeitsstufen!$G$7:$G$19,0)),"Gerät falsch",LOOKUP(VALUE(MID(I803,1,2)),Schwierigkeitsstufen!$G$7:$G$19,Schwierigkeitsstufen!$H$7:$H$19)))</f>
        <v/>
      </c>
      <c r="AD803" s="251" t="str">
        <f>IF((($A803="")*($B803=""))+((MID($Y803,1,4)&lt;&gt;"Wahl")*(Deckblatt!$C$14='WK-Vorlagen'!$C$82))+(Deckblatt!$C$14&lt;&gt;'WK-Vorlagen'!$C$82),"",IF(ISERROR(MATCH(VALUE(MID(J803,1,2)),Schwierigkeitsstufen!$G$7:$G$19,0)),"Gerät falsch",LOOKUP(VALUE(MID(J803,1,2)),Schwierigkeitsstufen!$G$7:$G$19,Schwierigkeitsstufen!$H$7:$H$19)))</f>
        <v/>
      </c>
      <c r="AE803" s="211"/>
      <c r="AG803" s="221" t="str">
        <f t="shared" si="108"/>
        <v/>
      </c>
      <c r="AH803" s="222" t="str">
        <f t="shared" si="110"/>
        <v/>
      </c>
      <c r="AI803" s="220">
        <f t="shared" si="115"/>
        <v>4</v>
      </c>
      <c r="AJ803" s="222">
        <f t="shared" si="111"/>
        <v>0</v>
      </c>
      <c r="AK803" s="299" t="str">
        <f>IF(ISERROR(LOOKUP(E803,WKNrListe,Übersicht!$R$7:$R$46)),"-",LOOKUP(E803,WKNrListe,Übersicht!$R$7:$R$46))</f>
        <v>-</v>
      </c>
      <c r="AL803" s="299" t="str">
        <f t="shared" si="114"/>
        <v>-</v>
      </c>
      <c r="AM803" s="303"/>
      <c r="AN803" s="174" t="str">
        <f t="shared" si="107"/>
        <v>Leer</v>
      </c>
    </row>
    <row r="804" spans="1:40" s="174" customFormat="1" ht="15" customHeight="1">
      <c r="A804" s="63"/>
      <c r="B804" s="63"/>
      <c r="C804" s="84"/>
      <c r="D804" s="85"/>
      <c r="E804" s="62"/>
      <c r="F804" s="62"/>
      <c r="G804" s="62"/>
      <c r="H804" s="62"/>
      <c r="I804" s="62"/>
      <c r="J804" s="62"/>
      <c r="K804" s="62"/>
      <c r="L804" s="62"/>
      <c r="M804" s="62"/>
      <c r="N804" s="62"/>
      <c r="O804" s="62"/>
      <c r="P804" s="62"/>
      <c r="Q804" s="62"/>
      <c r="R804" s="62"/>
      <c r="S804" s="258"/>
      <c r="T804" s="248" t="str">
        <f t="shared" si="112"/>
        <v/>
      </c>
      <c r="U804" s="249" t="str">
        <f t="shared" si="113"/>
        <v/>
      </c>
      <c r="V804" s="294" t="str">
        <f t="shared" si="109"/>
        <v/>
      </c>
      <c r="W804" s="294" t="str">
        <f>IF(((E804="")+(F804="")),"",IF(VLOOKUP(F804,Mannschaften!$A$1:$B$54,2,FALSE)&lt;&gt;E804,"Reiter Mannschaften füllen",""))</f>
        <v/>
      </c>
      <c r="X804" s="248" t="str">
        <f>IF(ISBLANK(C804),"",IF((U804&gt;(LOOKUP(E804,WKNrListe,Übersicht!$O$7:$O$46)))+(U804&lt;(LOOKUP(E804,WKNrListe,Übersicht!$P$7:$P$46))),"JG falsch",""))</f>
        <v/>
      </c>
      <c r="Y804" s="255" t="str">
        <f>IF((A804="")*(B804=""),"",IF(ISERROR(MATCH(E804,WKNrListe,0)),"WK falsch",LOOKUP(E804,WKNrListe,Übersicht!$B$7:$B$46)))</f>
        <v/>
      </c>
      <c r="Z804" s="269" t="str">
        <f>IF(((AJ804=0)*(AH804&lt;&gt;"")*(AK804="-"))+((AJ804&lt;&gt;0)*(AH804&lt;&gt;"")*(AK804="-")),IF(AG804="X",Übersicht!$C$70,Übersicht!$C$69),"-")</f>
        <v>-</v>
      </c>
      <c r="AA804" s="252" t="str">
        <f>IF((($A804="")*($B804=""))+((MID($Y804,1,4)&lt;&gt;"Wahl")*(Deckblatt!$C$14='WK-Vorlagen'!$C$82))+(Deckblatt!$C$14&lt;&gt;'WK-Vorlagen'!$C$82),"",IF(ISERROR(MATCH(VALUE(MID(G804,1,2)),Schwierigkeitsstufen!$G$7:$G$19,0)),"Gerät falsch",LOOKUP(VALUE(MID(G804,1,2)),Schwierigkeitsstufen!$G$7:$G$19,Schwierigkeitsstufen!$H$7:$H$19)))</f>
        <v/>
      </c>
      <c r="AB804" s="250" t="str">
        <f>IF((($A804="")*($B804=""))+((MID($Y804,1,4)&lt;&gt;"Wahl")*(Deckblatt!$C$14='WK-Vorlagen'!$C$82))+(Deckblatt!$C$14&lt;&gt;'WK-Vorlagen'!$C$82),"",IF(ISERROR(MATCH(VALUE(MID(H804,1,2)),Schwierigkeitsstufen!$G$7:$G$19,0)),"Gerät falsch",LOOKUP(VALUE(MID(H804,1,2)),Schwierigkeitsstufen!$G$7:$G$19,Schwierigkeitsstufen!$H$7:$H$19)))</f>
        <v/>
      </c>
      <c r="AC804" s="250" t="str">
        <f>IF((($A804="")*($B804=""))+((MID($Y804,1,4)&lt;&gt;"Wahl")*(Deckblatt!$C$14='WK-Vorlagen'!$C$82))+(Deckblatt!$C$14&lt;&gt;'WK-Vorlagen'!$C$82),"",IF(ISERROR(MATCH(VALUE(MID(I804,1,2)),Schwierigkeitsstufen!$G$7:$G$19,0)),"Gerät falsch",LOOKUP(VALUE(MID(I804,1,2)),Schwierigkeitsstufen!$G$7:$G$19,Schwierigkeitsstufen!$H$7:$H$19)))</f>
        <v/>
      </c>
      <c r="AD804" s="251" t="str">
        <f>IF((($A804="")*($B804=""))+((MID($Y804,1,4)&lt;&gt;"Wahl")*(Deckblatt!$C$14='WK-Vorlagen'!$C$82))+(Deckblatt!$C$14&lt;&gt;'WK-Vorlagen'!$C$82),"",IF(ISERROR(MATCH(VALUE(MID(J804,1,2)),Schwierigkeitsstufen!$G$7:$G$19,0)),"Gerät falsch",LOOKUP(VALUE(MID(J804,1,2)),Schwierigkeitsstufen!$G$7:$G$19,Schwierigkeitsstufen!$H$7:$H$19)))</f>
        <v/>
      </c>
      <c r="AE804" s="211"/>
      <c r="AG804" s="221" t="str">
        <f t="shared" si="108"/>
        <v/>
      </c>
      <c r="AH804" s="222" t="str">
        <f t="shared" si="110"/>
        <v/>
      </c>
      <c r="AI804" s="220">
        <f t="shared" si="115"/>
        <v>4</v>
      </c>
      <c r="AJ804" s="222">
        <f t="shared" si="111"/>
        <v>0</v>
      </c>
      <c r="AK804" s="299" t="str">
        <f>IF(ISERROR(LOOKUP(E804,WKNrListe,Übersicht!$R$7:$R$46)),"-",LOOKUP(E804,WKNrListe,Übersicht!$R$7:$R$46))</f>
        <v>-</v>
      </c>
      <c r="AL804" s="299" t="str">
        <f t="shared" si="114"/>
        <v>-</v>
      </c>
      <c r="AM804" s="303"/>
      <c r="AN804" s="174" t="str">
        <f t="shared" si="107"/>
        <v>Leer</v>
      </c>
    </row>
    <row r="805" spans="1:40" s="174" customFormat="1" ht="15" customHeight="1">
      <c r="A805" s="63"/>
      <c r="B805" s="63"/>
      <c r="C805" s="84"/>
      <c r="D805" s="85"/>
      <c r="E805" s="62"/>
      <c r="F805" s="62"/>
      <c r="G805" s="62"/>
      <c r="H805" s="62"/>
      <c r="I805" s="62"/>
      <c r="J805" s="62"/>
      <c r="K805" s="62"/>
      <c r="L805" s="62"/>
      <c r="M805" s="62"/>
      <c r="N805" s="62"/>
      <c r="O805" s="62"/>
      <c r="P805" s="62"/>
      <c r="Q805" s="62"/>
      <c r="R805" s="62"/>
      <c r="S805" s="258"/>
      <c r="T805" s="248" t="str">
        <f t="shared" si="112"/>
        <v/>
      </c>
      <c r="U805" s="249" t="str">
        <f t="shared" si="113"/>
        <v/>
      </c>
      <c r="V805" s="294" t="str">
        <f t="shared" si="109"/>
        <v/>
      </c>
      <c r="W805" s="294" t="str">
        <f>IF(((E805="")+(F805="")),"",IF(VLOOKUP(F805,Mannschaften!$A$1:$B$54,2,FALSE)&lt;&gt;E805,"Reiter Mannschaften füllen",""))</f>
        <v/>
      </c>
      <c r="X805" s="248" t="str">
        <f>IF(ISBLANK(C805),"",IF((U805&gt;(LOOKUP(E805,WKNrListe,Übersicht!$O$7:$O$46)))+(U805&lt;(LOOKUP(E805,WKNrListe,Übersicht!$P$7:$P$46))),"JG falsch",""))</f>
        <v/>
      </c>
      <c r="Y805" s="255" t="str">
        <f>IF((A805="")*(B805=""),"",IF(ISERROR(MATCH(E805,WKNrListe,0)),"WK falsch",LOOKUP(E805,WKNrListe,Übersicht!$B$7:$B$46)))</f>
        <v/>
      </c>
      <c r="Z805" s="269" t="str">
        <f>IF(((AJ805=0)*(AH805&lt;&gt;"")*(AK805="-"))+((AJ805&lt;&gt;0)*(AH805&lt;&gt;"")*(AK805="-")),IF(AG805="X",Übersicht!$C$70,Übersicht!$C$69),"-")</f>
        <v>-</v>
      </c>
      <c r="AA805" s="252" t="str">
        <f>IF((($A805="")*($B805=""))+((MID($Y805,1,4)&lt;&gt;"Wahl")*(Deckblatt!$C$14='WK-Vorlagen'!$C$82))+(Deckblatt!$C$14&lt;&gt;'WK-Vorlagen'!$C$82),"",IF(ISERROR(MATCH(VALUE(MID(G805,1,2)),Schwierigkeitsstufen!$G$7:$G$19,0)),"Gerät falsch",LOOKUP(VALUE(MID(G805,1,2)),Schwierigkeitsstufen!$G$7:$G$19,Schwierigkeitsstufen!$H$7:$H$19)))</f>
        <v/>
      </c>
      <c r="AB805" s="250" t="str">
        <f>IF((($A805="")*($B805=""))+((MID($Y805,1,4)&lt;&gt;"Wahl")*(Deckblatt!$C$14='WK-Vorlagen'!$C$82))+(Deckblatt!$C$14&lt;&gt;'WK-Vorlagen'!$C$82),"",IF(ISERROR(MATCH(VALUE(MID(H805,1,2)),Schwierigkeitsstufen!$G$7:$G$19,0)),"Gerät falsch",LOOKUP(VALUE(MID(H805,1,2)),Schwierigkeitsstufen!$G$7:$G$19,Schwierigkeitsstufen!$H$7:$H$19)))</f>
        <v/>
      </c>
      <c r="AC805" s="250" t="str">
        <f>IF((($A805="")*($B805=""))+((MID($Y805,1,4)&lt;&gt;"Wahl")*(Deckblatt!$C$14='WK-Vorlagen'!$C$82))+(Deckblatt!$C$14&lt;&gt;'WK-Vorlagen'!$C$82),"",IF(ISERROR(MATCH(VALUE(MID(I805,1,2)),Schwierigkeitsstufen!$G$7:$G$19,0)),"Gerät falsch",LOOKUP(VALUE(MID(I805,1,2)),Schwierigkeitsstufen!$G$7:$G$19,Schwierigkeitsstufen!$H$7:$H$19)))</f>
        <v/>
      </c>
      <c r="AD805" s="251" t="str">
        <f>IF((($A805="")*($B805=""))+((MID($Y805,1,4)&lt;&gt;"Wahl")*(Deckblatt!$C$14='WK-Vorlagen'!$C$82))+(Deckblatt!$C$14&lt;&gt;'WK-Vorlagen'!$C$82),"",IF(ISERROR(MATCH(VALUE(MID(J805,1,2)),Schwierigkeitsstufen!$G$7:$G$19,0)),"Gerät falsch",LOOKUP(VALUE(MID(J805,1,2)),Schwierigkeitsstufen!$G$7:$G$19,Schwierigkeitsstufen!$H$7:$H$19)))</f>
        <v/>
      </c>
      <c r="AE805" s="211"/>
      <c r="AG805" s="221" t="str">
        <f t="shared" si="108"/>
        <v/>
      </c>
      <c r="AH805" s="222" t="str">
        <f t="shared" si="110"/>
        <v/>
      </c>
      <c r="AI805" s="220">
        <f t="shared" si="115"/>
        <v>4</v>
      </c>
      <c r="AJ805" s="222">
        <f t="shared" si="111"/>
        <v>0</v>
      </c>
      <c r="AK805" s="299" t="str">
        <f>IF(ISERROR(LOOKUP(E805,WKNrListe,Übersicht!$R$7:$R$46)),"-",LOOKUP(E805,WKNrListe,Übersicht!$R$7:$R$46))</f>
        <v>-</v>
      </c>
      <c r="AL805" s="299" t="str">
        <f t="shared" si="114"/>
        <v>-</v>
      </c>
      <c r="AM805" s="303"/>
      <c r="AN805" s="174" t="str">
        <f t="shared" si="107"/>
        <v>Leer</v>
      </c>
    </row>
    <row r="806" spans="1:40" s="174" customFormat="1" ht="15" customHeight="1">
      <c r="A806" s="63"/>
      <c r="B806" s="63"/>
      <c r="C806" s="84"/>
      <c r="D806" s="85"/>
      <c r="E806" s="62"/>
      <c r="F806" s="62"/>
      <c r="G806" s="62"/>
      <c r="H806" s="62"/>
      <c r="I806" s="62"/>
      <c r="J806" s="62"/>
      <c r="K806" s="62"/>
      <c r="L806" s="62"/>
      <c r="M806" s="62"/>
      <c r="N806" s="62"/>
      <c r="O806" s="62"/>
      <c r="P806" s="62"/>
      <c r="Q806" s="62"/>
      <c r="R806" s="62"/>
      <c r="S806" s="258"/>
      <c r="T806" s="248" t="str">
        <f t="shared" si="112"/>
        <v/>
      </c>
      <c r="U806" s="249" t="str">
        <f t="shared" si="113"/>
        <v/>
      </c>
      <c r="V806" s="294" t="str">
        <f t="shared" si="109"/>
        <v/>
      </c>
      <c r="W806" s="294" t="str">
        <f>IF(((E806="")+(F806="")),"",IF(VLOOKUP(F806,Mannschaften!$A$1:$B$54,2,FALSE)&lt;&gt;E806,"Reiter Mannschaften füllen",""))</f>
        <v/>
      </c>
      <c r="X806" s="248" t="str">
        <f>IF(ISBLANK(C806),"",IF((U806&gt;(LOOKUP(E806,WKNrListe,Übersicht!$O$7:$O$46)))+(U806&lt;(LOOKUP(E806,WKNrListe,Übersicht!$P$7:$P$46))),"JG falsch",""))</f>
        <v/>
      </c>
      <c r="Y806" s="255" t="str">
        <f>IF((A806="")*(B806=""),"",IF(ISERROR(MATCH(E806,WKNrListe,0)),"WK falsch",LOOKUP(E806,WKNrListe,Übersicht!$B$7:$B$46)))</f>
        <v/>
      </c>
      <c r="Z806" s="269" t="str">
        <f>IF(((AJ806=0)*(AH806&lt;&gt;"")*(AK806="-"))+((AJ806&lt;&gt;0)*(AH806&lt;&gt;"")*(AK806="-")),IF(AG806="X",Übersicht!$C$70,Übersicht!$C$69),"-")</f>
        <v>-</v>
      </c>
      <c r="AA806" s="252" t="str">
        <f>IF((($A806="")*($B806=""))+((MID($Y806,1,4)&lt;&gt;"Wahl")*(Deckblatt!$C$14='WK-Vorlagen'!$C$82))+(Deckblatt!$C$14&lt;&gt;'WK-Vorlagen'!$C$82),"",IF(ISERROR(MATCH(VALUE(MID(G806,1,2)),Schwierigkeitsstufen!$G$7:$G$19,0)),"Gerät falsch",LOOKUP(VALUE(MID(G806,1,2)),Schwierigkeitsstufen!$G$7:$G$19,Schwierigkeitsstufen!$H$7:$H$19)))</f>
        <v/>
      </c>
      <c r="AB806" s="250" t="str">
        <f>IF((($A806="")*($B806=""))+((MID($Y806,1,4)&lt;&gt;"Wahl")*(Deckblatt!$C$14='WK-Vorlagen'!$C$82))+(Deckblatt!$C$14&lt;&gt;'WK-Vorlagen'!$C$82),"",IF(ISERROR(MATCH(VALUE(MID(H806,1,2)),Schwierigkeitsstufen!$G$7:$G$19,0)),"Gerät falsch",LOOKUP(VALUE(MID(H806,1,2)),Schwierigkeitsstufen!$G$7:$G$19,Schwierigkeitsstufen!$H$7:$H$19)))</f>
        <v/>
      </c>
      <c r="AC806" s="250" t="str">
        <f>IF((($A806="")*($B806=""))+((MID($Y806,1,4)&lt;&gt;"Wahl")*(Deckblatt!$C$14='WK-Vorlagen'!$C$82))+(Deckblatt!$C$14&lt;&gt;'WK-Vorlagen'!$C$82),"",IF(ISERROR(MATCH(VALUE(MID(I806,1,2)),Schwierigkeitsstufen!$G$7:$G$19,0)),"Gerät falsch",LOOKUP(VALUE(MID(I806,1,2)),Schwierigkeitsstufen!$G$7:$G$19,Schwierigkeitsstufen!$H$7:$H$19)))</f>
        <v/>
      </c>
      <c r="AD806" s="251" t="str">
        <f>IF((($A806="")*($B806=""))+((MID($Y806,1,4)&lt;&gt;"Wahl")*(Deckblatt!$C$14='WK-Vorlagen'!$C$82))+(Deckblatt!$C$14&lt;&gt;'WK-Vorlagen'!$C$82),"",IF(ISERROR(MATCH(VALUE(MID(J806,1,2)),Schwierigkeitsstufen!$G$7:$G$19,0)),"Gerät falsch",LOOKUP(VALUE(MID(J806,1,2)),Schwierigkeitsstufen!$G$7:$G$19,Schwierigkeitsstufen!$H$7:$H$19)))</f>
        <v/>
      </c>
      <c r="AE806" s="211"/>
      <c r="AG806" s="221" t="str">
        <f t="shared" si="108"/>
        <v/>
      </c>
      <c r="AH806" s="222" t="str">
        <f t="shared" si="110"/>
        <v/>
      </c>
      <c r="AI806" s="220">
        <f t="shared" si="115"/>
        <v>4</v>
      </c>
      <c r="AJ806" s="222">
        <f t="shared" si="111"/>
        <v>0</v>
      </c>
      <c r="AK806" s="299" t="str">
        <f>IF(ISERROR(LOOKUP(E806,WKNrListe,Übersicht!$R$7:$R$46)),"-",LOOKUP(E806,WKNrListe,Übersicht!$R$7:$R$46))</f>
        <v>-</v>
      </c>
      <c r="AL806" s="299" t="str">
        <f t="shared" si="114"/>
        <v>-</v>
      </c>
      <c r="AM806" s="303"/>
      <c r="AN806" s="174" t="str">
        <f t="shared" si="107"/>
        <v>Leer</v>
      </c>
    </row>
    <row r="807" spans="1:40" s="174" customFormat="1" ht="15" customHeight="1">
      <c r="A807" s="63"/>
      <c r="B807" s="63"/>
      <c r="C807" s="84"/>
      <c r="D807" s="85"/>
      <c r="E807" s="62"/>
      <c r="F807" s="62"/>
      <c r="G807" s="62"/>
      <c r="H807" s="62"/>
      <c r="I807" s="62"/>
      <c r="J807" s="62"/>
      <c r="K807" s="62"/>
      <c r="L807" s="62"/>
      <c r="M807" s="62"/>
      <c r="N807" s="62"/>
      <c r="O807" s="62"/>
      <c r="P807" s="62"/>
      <c r="Q807" s="62"/>
      <c r="R807" s="62"/>
      <c r="S807" s="258"/>
      <c r="T807" s="248" t="str">
        <f t="shared" si="112"/>
        <v/>
      </c>
      <c r="U807" s="249" t="str">
        <f t="shared" si="113"/>
        <v/>
      </c>
      <c r="V807" s="294" t="str">
        <f t="shared" si="109"/>
        <v/>
      </c>
      <c r="W807" s="294" t="str">
        <f>IF(((E807="")+(F807="")),"",IF(VLOOKUP(F807,Mannschaften!$A$1:$B$54,2,FALSE)&lt;&gt;E807,"Reiter Mannschaften füllen",""))</f>
        <v/>
      </c>
      <c r="X807" s="248" t="str">
        <f>IF(ISBLANK(C807),"",IF((U807&gt;(LOOKUP(E807,WKNrListe,Übersicht!$O$7:$O$46)))+(U807&lt;(LOOKUP(E807,WKNrListe,Übersicht!$P$7:$P$46))),"JG falsch",""))</f>
        <v/>
      </c>
      <c r="Y807" s="255" t="str">
        <f>IF((A807="")*(B807=""),"",IF(ISERROR(MATCH(E807,WKNrListe,0)),"WK falsch",LOOKUP(E807,WKNrListe,Übersicht!$B$7:$B$46)))</f>
        <v/>
      </c>
      <c r="Z807" s="269" t="str">
        <f>IF(((AJ807=0)*(AH807&lt;&gt;"")*(AK807="-"))+((AJ807&lt;&gt;0)*(AH807&lt;&gt;"")*(AK807="-")),IF(AG807="X",Übersicht!$C$70,Übersicht!$C$69),"-")</f>
        <v>-</v>
      </c>
      <c r="AA807" s="252" t="str">
        <f>IF((($A807="")*($B807=""))+((MID($Y807,1,4)&lt;&gt;"Wahl")*(Deckblatt!$C$14='WK-Vorlagen'!$C$82))+(Deckblatt!$C$14&lt;&gt;'WK-Vorlagen'!$C$82),"",IF(ISERROR(MATCH(VALUE(MID(G807,1,2)),Schwierigkeitsstufen!$G$7:$G$19,0)),"Gerät falsch",LOOKUP(VALUE(MID(G807,1,2)),Schwierigkeitsstufen!$G$7:$G$19,Schwierigkeitsstufen!$H$7:$H$19)))</f>
        <v/>
      </c>
      <c r="AB807" s="250" t="str">
        <f>IF((($A807="")*($B807=""))+((MID($Y807,1,4)&lt;&gt;"Wahl")*(Deckblatt!$C$14='WK-Vorlagen'!$C$82))+(Deckblatt!$C$14&lt;&gt;'WK-Vorlagen'!$C$82),"",IF(ISERROR(MATCH(VALUE(MID(H807,1,2)),Schwierigkeitsstufen!$G$7:$G$19,0)),"Gerät falsch",LOOKUP(VALUE(MID(H807,1,2)),Schwierigkeitsstufen!$G$7:$G$19,Schwierigkeitsstufen!$H$7:$H$19)))</f>
        <v/>
      </c>
      <c r="AC807" s="250" t="str">
        <f>IF((($A807="")*($B807=""))+((MID($Y807,1,4)&lt;&gt;"Wahl")*(Deckblatt!$C$14='WK-Vorlagen'!$C$82))+(Deckblatt!$C$14&lt;&gt;'WK-Vorlagen'!$C$82),"",IF(ISERROR(MATCH(VALUE(MID(I807,1,2)),Schwierigkeitsstufen!$G$7:$G$19,0)),"Gerät falsch",LOOKUP(VALUE(MID(I807,1,2)),Schwierigkeitsstufen!$G$7:$G$19,Schwierigkeitsstufen!$H$7:$H$19)))</f>
        <v/>
      </c>
      <c r="AD807" s="251" t="str">
        <f>IF((($A807="")*($B807=""))+((MID($Y807,1,4)&lt;&gt;"Wahl")*(Deckblatt!$C$14='WK-Vorlagen'!$C$82))+(Deckblatt!$C$14&lt;&gt;'WK-Vorlagen'!$C$82),"",IF(ISERROR(MATCH(VALUE(MID(J807,1,2)),Schwierigkeitsstufen!$G$7:$G$19,0)),"Gerät falsch",LOOKUP(VALUE(MID(J807,1,2)),Schwierigkeitsstufen!$G$7:$G$19,Schwierigkeitsstufen!$H$7:$H$19)))</f>
        <v/>
      </c>
      <c r="AE807" s="211"/>
      <c r="AG807" s="221" t="str">
        <f t="shared" si="108"/>
        <v/>
      </c>
      <c r="AH807" s="222" t="str">
        <f t="shared" si="110"/>
        <v/>
      </c>
      <c r="AI807" s="220">
        <f t="shared" si="115"/>
        <v>4</v>
      </c>
      <c r="AJ807" s="222">
        <f t="shared" si="111"/>
        <v>0</v>
      </c>
      <c r="AK807" s="299" t="str">
        <f>IF(ISERROR(LOOKUP(E807,WKNrListe,Übersicht!$R$7:$R$46)),"-",LOOKUP(E807,WKNrListe,Übersicht!$R$7:$R$46))</f>
        <v>-</v>
      </c>
      <c r="AL807" s="299" t="str">
        <f t="shared" si="114"/>
        <v>-</v>
      </c>
      <c r="AM807" s="303"/>
      <c r="AN807" s="174" t="str">
        <f t="shared" si="107"/>
        <v>Leer</v>
      </c>
    </row>
    <row r="808" spans="1:40" s="174" customFormat="1" ht="15" customHeight="1">
      <c r="A808" s="63"/>
      <c r="B808" s="63"/>
      <c r="C808" s="84"/>
      <c r="D808" s="85"/>
      <c r="E808" s="62"/>
      <c r="F808" s="62"/>
      <c r="G808" s="62"/>
      <c r="H808" s="62"/>
      <c r="I808" s="62"/>
      <c r="J808" s="62"/>
      <c r="K808" s="62"/>
      <c r="L808" s="62"/>
      <c r="M808" s="62"/>
      <c r="N808" s="62"/>
      <c r="O808" s="62"/>
      <c r="P808" s="62"/>
      <c r="Q808" s="62"/>
      <c r="R808" s="62"/>
      <c r="S808" s="258"/>
      <c r="T808" s="248" t="str">
        <f t="shared" si="112"/>
        <v/>
      </c>
      <c r="U808" s="249" t="str">
        <f t="shared" si="113"/>
        <v/>
      </c>
      <c r="V808" s="294" t="str">
        <f t="shared" si="109"/>
        <v/>
      </c>
      <c r="W808" s="294" t="str">
        <f>IF(((E808="")+(F808="")),"",IF(VLOOKUP(F808,Mannschaften!$A$1:$B$54,2,FALSE)&lt;&gt;E808,"Reiter Mannschaften füllen",""))</f>
        <v/>
      </c>
      <c r="X808" s="248" t="str">
        <f>IF(ISBLANK(C808),"",IF((U808&gt;(LOOKUP(E808,WKNrListe,Übersicht!$O$7:$O$46)))+(U808&lt;(LOOKUP(E808,WKNrListe,Übersicht!$P$7:$P$46))),"JG falsch",""))</f>
        <v/>
      </c>
      <c r="Y808" s="255" t="str">
        <f>IF((A808="")*(B808=""),"",IF(ISERROR(MATCH(E808,WKNrListe,0)),"WK falsch",LOOKUP(E808,WKNrListe,Übersicht!$B$7:$B$46)))</f>
        <v/>
      </c>
      <c r="Z808" s="269" t="str">
        <f>IF(((AJ808=0)*(AH808&lt;&gt;"")*(AK808="-"))+((AJ808&lt;&gt;0)*(AH808&lt;&gt;"")*(AK808="-")),IF(AG808="X",Übersicht!$C$70,Übersicht!$C$69),"-")</f>
        <v>-</v>
      </c>
      <c r="AA808" s="252" t="str">
        <f>IF((($A808="")*($B808=""))+((MID($Y808,1,4)&lt;&gt;"Wahl")*(Deckblatt!$C$14='WK-Vorlagen'!$C$82))+(Deckblatt!$C$14&lt;&gt;'WK-Vorlagen'!$C$82),"",IF(ISERROR(MATCH(VALUE(MID(G808,1,2)),Schwierigkeitsstufen!$G$7:$G$19,0)),"Gerät falsch",LOOKUP(VALUE(MID(G808,1,2)),Schwierigkeitsstufen!$G$7:$G$19,Schwierigkeitsstufen!$H$7:$H$19)))</f>
        <v/>
      </c>
      <c r="AB808" s="250" t="str">
        <f>IF((($A808="")*($B808=""))+((MID($Y808,1,4)&lt;&gt;"Wahl")*(Deckblatt!$C$14='WK-Vorlagen'!$C$82))+(Deckblatt!$C$14&lt;&gt;'WK-Vorlagen'!$C$82),"",IF(ISERROR(MATCH(VALUE(MID(H808,1,2)),Schwierigkeitsstufen!$G$7:$G$19,0)),"Gerät falsch",LOOKUP(VALUE(MID(H808,1,2)),Schwierigkeitsstufen!$G$7:$G$19,Schwierigkeitsstufen!$H$7:$H$19)))</f>
        <v/>
      </c>
      <c r="AC808" s="250" t="str">
        <f>IF((($A808="")*($B808=""))+((MID($Y808,1,4)&lt;&gt;"Wahl")*(Deckblatt!$C$14='WK-Vorlagen'!$C$82))+(Deckblatt!$C$14&lt;&gt;'WK-Vorlagen'!$C$82),"",IF(ISERROR(MATCH(VALUE(MID(I808,1,2)),Schwierigkeitsstufen!$G$7:$G$19,0)),"Gerät falsch",LOOKUP(VALUE(MID(I808,1,2)),Schwierigkeitsstufen!$G$7:$G$19,Schwierigkeitsstufen!$H$7:$H$19)))</f>
        <v/>
      </c>
      <c r="AD808" s="251" t="str">
        <f>IF((($A808="")*($B808=""))+((MID($Y808,1,4)&lt;&gt;"Wahl")*(Deckblatt!$C$14='WK-Vorlagen'!$C$82))+(Deckblatt!$C$14&lt;&gt;'WK-Vorlagen'!$C$82),"",IF(ISERROR(MATCH(VALUE(MID(J808,1,2)),Schwierigkeitsstufen!$G$7:$G$19,0)),"Gerät falsch",LOOKUP(VALUE(MID(J808,1,2)),Schwierigkeitsstufen!$G$7:$G$19,Schwierigkeitsstufen!$H$7:$H$19)))</f>
        <v/>
      </c>
      <c r="AE808" s="211"/>
      <c r="AG808" s="221" t="str">
        <f t="shared" si="108"/>
        <v/>
      </c>
      <c r="AH808" s="222" t="str">
        <f t="shared" si="110"/>
        <v/>
      </c>
      <c r="AI808" s="220">
        <f t="shared" si="115"/>
        <v>4</v>
      </c>
      <c r="AJ808" s="222">
        <f t="shared" si="111"/>
        <v>0</v>
      </c>
      <c r="AK808" s="299" t="str">
        <f>IF(ISERROR(LOOKUP(E808,WKNrListe,Übersicht!$R$7:$R$46)),"-",LOOKUP(E808,WKNrListe,Übersicht!$R$7:$R$46))</f>
        <v>-</v>
      </c>
      <c r="AL808" s="299" t="str">
        <f t="shared" si="114"/>
        <v>-</v>
      </c>
      <c r="AM808" s="303"/>
      <c r="AN808" s="174" t="str">
        <f t="shared" si="107"/>
        <v>Leer</v>
      </c>
    </row>
    <row r="809" spans="1:40" s="174" customFormat="1" ht="15" customHeight="1">
      <c r="A809" s="63"/>
      <c r="B809" s="63"/>
      <c r="C809" s="84"/>
      <c r="D809" s="85"/>
      <c r="E809" s="62"/>
      <c r="F809" s="62"/>
      <c r="G809" s="62"/>
      <c r="H809" s="62"/>
      <c r="I809" s="62"/>
      <c r="J809" s="62"/>
      <c r="K809" s="62"/>
      <c r="L809" s="62"/>
      <c r="M809" s="62"/>
      <c r="N809" s="62"/>
      <c r="O809" s="62"/>
      <c r="P809" s="62"/>
      <c r="Q809" s="62"/>
      <c r="R809" s="62"/>
      <c r="S809" s="258"/>
      <c r="T809" s="248" t="str">
        <f t="shared" si="112"/>
        <v/>
      </c>
      <c r="U809" s="249" t="str">
        <f t="shared" si="113"/>
        <v/>
      </c>
      <c r="V809" s="294" t="str">
        <f t="shared" si="109"/>
        <v/>
      </c>
      <c r="W809" s="294" t="str">
        <f>IF(((E809="")+(F809="")),"",IF(VLOOKUP(F809,Mannschaften!$A$1:$B$54,2,FALSE)&lt;&gt;E809,"Reiter Mannschaften füllen",""))</f>
        <v/>
      </c>
      <c r="X809" s="248" t="str">
        <f>IF(ISBLANK(C809),"",IF((U809&gt;(LOOKUP(E809,WKNrListe,Übersicht!$O$7:$O$46)))+(U809&lt;(LOOKUP(E809,WKNrListe,Übersicht!$P$7:$P$46))),"JG falsch",""))</f>
        <v/>
      </c>
      <c r="Y809" s="255" t="str">
        <f>IF((A809="")*(B809=""),"",IF(ISERROR(MATCH(E809,WKNrListe,0)),"WK falsch",LOOKUP(E809,WKNrListe,Übersicht!$B$7:$B$46)))</f>
        <v/>
      </c>
      <c r="Z809" s="269" t="str">
        <f>IF(((AJ809=0)*(AH809&lt;&gt;"")*(AK809="-"))+((AJ809&lt;&gt;0)*(AH809&lt;&gt;"")*(AK809="-")),IF(AG809="X",Übersicht!$C$70,Übersicht!$C$69),"-")</f>
        <v>-</v>
      </c>
      <c r="AA809" s="252" t="str">
        <f>IF((($A809="")*($B809=""))+((MID($Y809,1,4)&lt;&gt;"Wahl")*(Deckblatt!$C$14='WK-Vorlagen'!$C$82))+(Deckblatt!$C$14&lt;&gt;'WK-Vorlagen'!$C$82),"",IF(ISERROR(MATCH(VALUE(MID(G809,1,2)),Schwierigkeitsstufen!$G$7:$G$19,0)),"Gerät falsch",LOOKUP(VALUE(MID(G809,1,2)),Schwierigkeitsstufen!$G$7:$G$19,Schwierigkeitsstufen!$H$7:$H$19)))</f>
        <v/>
      </c>
      <c r="AB809" s="250" t="str">
        <f>IF((($A809="")*($B809=""))+((MID($Y809,1,4)&lt;&gt;"Wahl")*(Deckblatt!$C$14='WK-Vorlagen'!$C$82))+(Deckblatt!$C$14&lt;&gt;'WK-Vorlagen'!$C$82),"",IF(ISERROR(MATCH(VALUE(MID(H809,1,2)),Schwierigkeitsstufen!$G$7:$G$19,0)),"Gerät falsch",LOOKUP(VALUE(MID(H809,1,2)),Schwierigkeitsstufen!$G$7:$G$19,Schwierigkeitsstufen!$H$7:$H$19)))</f>
        <v/>
      </c>
      <c r="AC809" s="250" t="str">
        <f>IF((($A809="")*($B809=""))+((MID($Y809,1,4)&lt;&gt;"Wahl")*(Deckblatt!$C$14='WK-Vorlagen'!$C$82))+(Deckblatt!$C$14&lt;&gt;'WK-Vorlagen'!$C$82),"",IF(ISERROR(MATCH(VALUE(MID(I809,1,2)),Schwierigkeitsstufen!$G$7:$G$19,0)),"Gerät falsch",LOOKUP(VALUE(MID(I809,1,2)),Schwierigkeitsstufen!$G$7:$G$19,Schwierigkeitsstufen!$H$7:$H$19)))</f>
        <v/>
      </c>
      <c r="AD809" s="251" t="str">
        <f>IF((($A809="")*($B809=""))+((MID($Y809,1,4)&lt;&gt;"Wahl")*(Deckblatt!$C$14='WK-Vorlagen'!$C$82))+(Deckblatt!$C$14&lt;&gt;'WK-Vorlagen'!$C$82),"",IF(ISERROR(MATCH(VALUE(MID(J809,1,2)),Schwierigkeitsstufen!$G$7:$G$19,0)),"Gerät falsch",LOOKUP(VALUE(MID(J809,1,2)),Schwierigkeitsstufen!$G$7:$G$19,Schwierigkeitsstufen!$H$7:$H$19)))</f>
        <v/>
      </c>
      <c r="AE809" s="211"/>
      <c r="AG809" s="221" t="str">
        <f t="shared" si="108"/>
        <v/>
      </c>
      <c r="AH809" s="222" t="str">
        <f t="shared" si="110"/>
        <v/>
      </c>
      <c r="AI809" s="220">
        <f t="shared" si="115"/>
        <v>4</v>
      </c>
      <c r="AJ809" s="222">
        <f t="shared" si="111"/>
        <v>0</v>
      </c>
      <c r="AK809" s="299" t="str">
        <f>IF(ISERROR(LOOKUP(E809,WKNrListe,Übersicht!$R$7:$R$46)),"-",LOOKUP(E809,WKNrListe,Übersicht!$R$7:$R$46))</f>
        <v>-</v>
      </c>
      <c r="AL809" s="299" t="str">
        <f t="shared" si="114"/>
        <v>-</v>
      </c>
      <c r="AM809" s="303"/>
      <c r="AN809" s="174" t="str">
        <f t="shared" si="107"/>
        <v>Leer</v>
      </c>
    </row>
    <row r="810" spans="1:40" s="174" customFormat="1" ht="15" customHeight="1">
      <c r="A810" s="63"/>
      <c r="B810" s="63"/>
      <c r="C810" s="84"/>
      <c r="D810" s="85"/>
      <c r="E810" s="62"/>
      <c r="F810" s="62"/>
      <c r="G810" s="62"/>
      <c r="H810" s="62"/>
      <c r="I810" s="62"/>
      <c r="J810" s="62"/>
      <c r="K810" s="62"/>
      <c r="L810" s="62"/>
      <c r="M810" s="62"/>
      <c r="N810" s="62"/>
      <c r="O810" s="62"/>
      <c r="P810" s="62"/>
      <c r="Q810" s="62"/>
      <c r="R810" s="62"/>
      <c r="S810" s="258"/>
      <c r="T810" s="248" t="str">
        <f t="shared" si="112"/>
        <v/>
      </c>
      <c r="U810" s="249" t="str">
        <f t="shared" si="113"/>
        <v/>
      </c>
      <c r="V810" s="294" t="str">
        <f t="shared" si="109"/>
        <v/>
      </c>
      <c r="W810" s="294" t="str">
        <f>IF(((E810="")+(F810="")),"",IF(VLOOKUP(F810,Mannschaften!$A$1:$B$54,2,FALSE)&lt;&gt;E810,"Reiter Mannschaften füllen",""))</f>
        <v/>
      </c>
      <c r="X810" s="248" t="str">
        <f>IF(ISBLANK(C810),"",IF((U810&gt;(LOOKUP(E810,WKNrListe,Übersicht!$O$7:$O$46)))+(U810&lt;(LOOKUP(E810,WKNrListe,Übersicht!$P$7:$P$46))),"JG falsch",""))</f>
        <v/>
      </c>
      <c r="Y810" s="255" t="str">
        <f>IF((A810="")*(B810=""),"",IF(ISERROR(MATCH(E810,WKNrListe,0)),"WK falsch",LOOKUP(E810,WKNrListe,Übersicht!$B$7:$B$46)))</f>
        <v/>
      </c>
      <c r="Z810" s="269" t="str">
        <f>IF(((AJ810=0)*(AH810&lt;&gt;"")*(AK810="-"))+((AJ810&lt;&gt;0)*(AH810&lt;&gt;"")*(AK810="-")),IF(AG810="X",Übersicht!$C$70,Übersicht!$C$69),"-")</f>
        <v>-</v>
      </c>
      <c r="AA810" s="252" t="str">
        <f>IF((($A810="")*($B810=""))+((MID($Y810,1,4)&lt;&gt;"Wahl")*(Deckblatt!$C$14='WK-Vorlagen'!$C$82))+(Deckblatt!$C$14&lt;&gt;'WK-Vorlagen'!$C$82),"",IF(ISERROR(MATCH(VALUE(MID(G810,1,2)),Schwierigkeitsstufen!$G$7:$G$19,0)),"Gerät falsch",LOOKUP(VALUE(MID(G810,1,2)),Schwierigkeitsstufen!$G$7:$G$19,Schwierigkeitsstufen!$H$7:$H$19)))</f>
        <v/>
      </c>
      <c r="AB810" s="250" t="str">
        <f>IF((($A810="")*($B810=""))+((MID($Y810,1,4)&lt;&gt;"Wahl")*(Deckblatt!$C$14='WK-Vorlagen'!$C$82))+(Deckblatt!$C$14&lt;&gt;'WK-Vorlagen'!$C$82),"",IF(ISERROR(MATCH(VALUE(MID(H810,1,2)),Schwierigkeitsstufen!$G$7:$G$19,0)),"Gerät falsch",LOOKUP(VALUE(MID(H810,1,2)),Schwierigkeitsstufen!$G$7:$G$19,Schwierigkeitsstufen!$H$7:$H$19)))</f>
        <v/>
      </c>
      <c r="AC810" s="250" t="str">
        <f>IF((($A810="")*($B810=""))+((MID($Y810,1,4)&lt;&gt;"Wahl")*(Deckblatt!$C$14='WK-Vorlagen'!$C$82))+(Deckblatt!$C$14&lt;&gt;'WK-Vorlagen'!$C$82),"",IF(ISERROR(MATCH(VALUE(MID(I810,1,2)),Schwierigkeitsstufen!$G$7:$G$19,0)),"Gerät falsch",LOOKUP(VALUE(MID(I810,1,2)),Schwierigkeitsstufen!$G$7:$G$19,Schwierigkeitsstufen!$H$7:$H$19)))</f>
        <v/>
      </c>
      <c r="AD810" s="251" t="str">
        <f>IF((($A810="")*($B810=""))+((MID($Y810,1,4)&lt;&gt;"Wahl")*(Deckblatt!$C$14='WK-Vorlagen'!$C$82))+(Deckblatt!$C$14&lt;&gt;'WK-Vorlagen'!$C$82),"",IF(ISERROR(MATCH(VALUE(MID(J810,1,2)),Schwierigkeitsstufen!$G$7:$G$19,0)),"Gerät falsch",LOOKUP(VALUE(MID(J810,1,2)),Schwierigkeitsstufen!$G$7:$G$19,Schwierigkeitsstufen!$H$7:$H$19)))</f>
        <v/>
      </c>
      <c r="AE810" s="211"/>
      <c r="AG810" s="221" t="str">
        <f t="shared" si="108"/>
        <v/>
      </c>
      <c r="AH810" s="222" t="str">
        <f t="shared" si="110"/>
        <v/>
      </c>
      <c r="AI810" s="220">
        <f t="shared" si="115"/>
        <v>4</v>
      </c>
      <c r="AJ810" s="222">
        <f t="shared" si="111"/>
        <v>0</v>
      </c>
      <c r="AK810" s="299" t="str">
        <f>IF(ISERROR(LOOKUP(E810,WKNrListe,Übersicht!$R$7:$R$46)),"-",LOOKUP(E810,WKNrListe,Übersicht!$R$7:$R$46))</f>
        <v>-</v>
      </c>
      <c r="AL810" s="299" t="str">
        <f t="shared" si="114"/>
        <v>-</v>
      </c>
      <c r="AM810" s="303"/>
      <c r="AN810" s="174" t="str">
        <f t="shared" si="107"/>
        <v>Leer</v>
      </c>
    </row>
    <row r="811" spans="1:40" s="174" customFormat="1" ht="15" customHeight="1">
      <c r="A811" s="63"/>
      <c r="B811" s="63"/>
      <c r="C811" s="84"/>
      <c r="D811" s="85"/>
      <c r="E811" s="62"/>
      <c r="F811" s="62"/>
      <c r="G811" s="62"/>
      <c r="H811" s="62"/>
      <c r="I811" s="62"/>
      <c r="J811" s="62"/>
      <c r="K811" s="62"/>
      <c r="L811" s="62"/>
      <c r="M811" s="62"/>
      <c r="N811" s="62"/>
      <c r="O811" s="62"/>
      <c r="P811" s="62"/>
      <c r="Q811" s="62"/>
      <c r="R811" s="62"/>
      <c r="S811" s="258"/>
      <c r="T811" s="248" t="str">
        <f t="shared" si="112"/>
        <v/>
      </c>
      <c r="U811" s="249" t="str">
        <f t="shared" si="113"/>
        <v/>
      </c>
      <c r="V811" s="294" t="str">
        <f t="shared" si="109"/>
        <v/>
      </c>
      <c r="W811" s="294" t="str">
        <f>IF(((E811="")+(F811="")),"",IF(VLOOKUP(F811,Mannschaften!$A$1:$B$54,2,FALSE)&lt;&gt;E811,"Reiter Mannschaften füllen",""))</f>
        <v/>
      </c>
      <c r="X811" s="248" t="str">
        <f>IF(ISBLANK(C811),"",IF((U811&gt;(LOOKUP(E811,WKNrListe,Übersicht!$O$7:$O$46)))+(U811&lt;(LOOKUP(E811,WKNrListe,Übersicht!$P$7:$P$46))),"JG falsch",""))</f>
        <v/>
      </c>
      <c r="Y811" s="255" t="str">
        <f>IF((A811="")*(B811=""),"",IF(ISERROR(MATCH(E811,WKNrListe,0)),"WK falsch",LOOKUP(E811,WKNrListe,Übersicht!$B$7:$B$46)))</f>
        <v/>
      </c>
      <c r="Z811" s="269" t="str">
        <f>IF(((AJ811=0)*(AH811&lt;&gt;"")*(AK811="-"))+((AJ811&lt;&gt;0)*(AH811&lt;&gt;"")*(AK811="-")),IF(AG811="X",Übersicht!$C$70,Übersicht!$C$69),"-")</f>
        <v>-</v>
      </c>
      <c r="AA811" s="252" t="str">
        <f>IF((($A811="")*($B811=""))+((MID($Y811,1,4)&lt;&gt;"Wahl")*(Deckblatt!$C$14='WK-Vorlagen'!$C$82))+(Deckblatt!$C$14&lt;&gt;'WK-Vorlagen'!$C$82),"",IF(ISERROR(MATCH(VALUE(MID(G811,1,2)),Schwierigkeitsstufen!$G$7:$G$19,0)),"Gerät falsch",LOOKUP(VALUE(MID(G811,1,2)),Schwierigkeitsstufen!$G$7:$G$19,Schwierigkeitsstufen!$H$7:$H$19)))</f>
        <v/>
      </c>
      <c r="AB811" s="250" t="str">
        <f>IF((($A811="")*($B811=""))+((MID($Y811,1,4)&lt;&gt;"Wahl")*(Deckblatt!$C$14='WK-Vorlagen'!$C$82))+(Deckblatt!$C$14&lt;&gt;'WK-Vorlagen'!$C$82),"",IF(ISERROR(MATCH(VALUE(MID(H811,1,2)),Schwierigkeitsstufen!$G$7:$G$19,0)),"Gerät falsch",LOOKUP(VALUE(MID(H811,1,2)),Schwierigkeitsstufen!$G$7:$G$19,Schwierigkeitsstufen!$H$7:$H$19)))</f>
        <v/>
      </c>
      <c r="AC811" s="250" t="str">
        <f>IF((($A811="")*($B811=""))+((MID($Y811,1,4)&lt;&gt;"Wahl")*(Deckblatt!$C$14='WK-Vorlagen'!$C$82))+(Deckblatt!$C$14&lt;&gt;'WK-Vorlagen'!$C$82),"",IF(ISERROR(MATCH(VALUE(MID(I811,1,2)),Schwierigkeitsstufen!$G$7:$G$19,0)),"Gerät falsch",LOOKUP(VALUE(MID(I811,1,2)),Schwierigkeitsstufen!$G$7:$G$19,Schwierigkeitsstufen!$H$7:$H$19)))</f>
        <v/>
      </c>
      <c r="AD811" s="251" t="str">
        <f>IF((($A811="")*($B811=""))+((MID($Y811,1,4)&lt;&gt;"Wahl")*(Deckblatt!$C$14='WK-Vorlagen'!$C$82))+(Deckblatt!$C$14&lt;&gt;'WK-Vorlagen'!$C$82),"",IF(ISERROR(MATCH(VALUE(MID(J811,1,2)),Schwierigkeitsstufen!$G$7:$G$19,0)),"Gerät falsch",LOOKUP(VALUE(MID(J811,1,2)),Schwierigkeitsstufen!$G$7:$G$19,Schwierigkeitsstufen!$H$7:$H$19)))</f>
        <v/>
      </c>
      <c r="AE811" s="211"/>
      <c r="AG811" s="221" t="str">
        <f t="shared" si="108"/>
        <v/>
      </c>
      <c r="AH811" s="222" t="str">
        <f t="shared" si="110"/>
        <v/>
      </c>
      <c r="AI811" s="220">
        <f t="shared" si="115"/>
        <v>4</v>
      </c>
      <c r="AJ811" s="222">
        <f t="shared" si="111"/>
        <v>0</v>
      </c>
      <c r="AK811" s="299" t="str">
        <f>IF(ISERROR(LOOKUP(E811,WKNrListe,Übersicht!$R$7:$R$46)),"-",LOOKUP(E811,WKNrListe,Übersicht!$R$7:$R$46))</f>
        <v>-</v>
      </c>
      <c r="AL811" s="299" t="str">
        <f t="shared" si="114"/>
        <v>-</v>
      </c>
      <c r="AM811" s="303"/>
      <c r="AN811" s="174" t="str">
        <f t="shared" si="107"/>
        <v>Leer</v>
      </c>
    </row>
    <row r="812" spans="1:40" s="174" customFormat="1" ht="15" customHeight="1">
      <c r="A812" s="63"/>
      <c r="B812" s="63"/>
      <c r="C812" s="84"/>
      <c r="D812" s="85"/>
      <c r="E812" s="62"/>
      <c r="F812" s="62"/>
      <c r="G812" s="62"/>
      <c r="H812" s="62"/>
      <c r="I812" s="62"/>
      <c r="J812" s="62"/>
      <c r="K812" s="62"/>
      <c r="L812" s="62"/>
      <c r="M812" s="62"/>
      <c r="N812" s="62"/>
      <c r="O812" s="62"/>
      <c r="P812" s="62"/>
      <c r="Q812" s="62"/>
      <c r="R812" s="62"/>
      <c r="S812" s="258"/>
      <c r="T812" s="248" t="str">
        <f t="shared" si="112"/>
        <v/>
      </c>
      <c r="U812" s="249" t="str">
        <f t="shared" si="113"/>
        <v/>
      </c>
      <c r="V812" s="294" t="str">
        <f t="shared" si="109"/>
        <v/>
      </c>
      <c r="W812" s="294" t="str">
        <f>IF(((E812="")+(F812="")),"",IF(VLOOKUP(F812,Mannschaften!$A$1:$B$54,2,FALSE)&lt;&gt;E812,"Reiter Mannschaften füllen",""))</f>
        <v/>
      </c>
      <c r="X812" s="248" t="str">
        <f>IF(ISBLANK(C812),"",IF((U812&gt;(LOOKUP(E812,WKNrListe,Übersicht!$O$7:$O$46)))+(U812&lt;(LOOKUP(E812,WKNrListe,Übersicht!$P$7:$P$46))),"JG falsch",""))</f>
        <v/>
      </c>
      <c r="Y812" s="255" t="str">
        <f>IF((A812="")*(B812=""),"",IF(ISERROR(MATCH(E812,WKNrListe,0)),"WK falsch",LOOKUP(E812,WKNrListe,Übersicht!$B$7:$B$46)))</f>
        <v/>
      </c>
      <c r="Z812" s="269" t="str">
        <f>IF(((AJ812=0)*(AH812&lt;&gt;"")*(AK812="-"))+((AJ812&lt;&gt;0)*(AH812&lt;&gt;"")*(AK812="-")),IF(AG812="X",Übersicht!$C$70,Übersicht!$C$69),"-")</f>
        <v>-</v>
      </c>
      <c r="AA812" s="252" t="str">
        <f>IF((($A812="")*($B812=""))+((MID($Y812,1,4)&lt;&gt;"Wahl")*(Deckblatt!$C$14='WK-Vorlagen'!$C$82))+(Deckblatt!$C$14&lt;&gt;'WK-Vorlagen'!$C$82),"",IF(ISERROR(MATCH(VALUE(MID(G812,1,2)),Schwierigkeitsstufen!$G$7:$G$19,0)),"Gerät falsch",LOOKUP(VALUE(MID(G812,1,2)),Schwierigkeitsstufen!$G$7:$G$19,Schwierigkeitsstufen!$H$7:$H$19)))</f>
        <v/>
      </c>
      <c r="AB812" s="250" t="str">
        <f>IF((($A812="")*($B812=""))+((MID($Y812,1,4)&lt;&gt;"Wahl")*(Deckblatt!$C$14='WK-Vorlagen'!$C$82))+(Deckblatt!$C$14&lt;&gt;'WK-Vorlagen'!$C$82),"",IF(ISERROR(MATCH(VALUE(MID(H812,1,2)),Schwierigkeitsstufen!$G$7:$G$19,0)),"Gerät falsch",LOOKUP(VALUE(MID(H812,1,2)),Schwierigkeitsstufen!$G$7:$G$19,Schwierigkeitsstufen!$H$7:$H$19)))</f>
        <v/>
      </c>
      <c r="AC812" s="250" t="str">
        <f>IF((($A812="")*($B812=""))+((MID($Y812,1,4)&lt;&gt;"Wahl")*(Deckblatt!$C$14='WK-Vorlagen'!$C$82))+(Deckblatt!$C$14&lt;&gt;'WK-Vorlagen'!$C$82),"",IF(ISERROR(MATCH(VALUE(MID(I812,1,2)),Schwierigkeitsstufen!$G$7:$G$19,0)),"Gerät falsch",LOOKUP(VALUE(MID(I812,1,2)),Schwierigkeitsstufen!$G$7:$G$19,Schwierigkeitsstufen!$H$7:$H$19)))</f>
        <v/>
      </c>
      <c r="AD812" s="251" t="str">
        <f>IF((($A812="")*($B812=""))+((MID($Y812,1,4)&lt;&gt;"Wahl")*(Deckblatt!$C$14='WK-Vorlagen'!$C$82))+(Deckblatt!$C$14&lt;&gt;'WK-Vorlagen'!$C$82),"",IF(ISERROR(MATCH(VALUE(MID(J812,1,2)),Schwierigkeitsstufen!$G$7:$G$19,0)),"Gerät falsch",LOOKUP(VALUE(MID(J812,1,2)),Schwierigkeitsstufen!$G$7:$G$19,Schwierigkeitsstufen!$H$7:$H$19)))</f>
        <v/>
      </c>
      <c r="AE812" s="211"/>
      <c r="AG812" s="221" t="str">
        <f t="shared" si="108"/>
        <v/>
      </c>
      <c r="AH812" s="222" t="str">
        <f t="shared" si="110"/>
        <v/>
      </c>
      <c r="AI812" s="220">
        <f t="shared" si="115"/>
        <v>4</v>
      </c>
      <c r="AJ812" s="222">
        <f t="shared" si="111"/>
        <v>0</v>
      </c>
      <c r="AK812" s="299" t="str">
        <f>IF(ISERROR(LOOKUP(E812,WKNrListe,Übersicht!$R$7:$R$46)),"-",LOOKUP(E812,WKNrListe,Übersicht!$R$7:$R$46))</f>
        <v>-</v>
      </c>
      <c r="AL812" s="299" t="str">
        <f t="shared" si="114"/>
        <v>-</v>
      </c>
      <c r="AM812" s="303"/>
      <c r="AN812" s="174" t="str">
        <f t="shared" si="107"/>
        <v>Leer</v>
      </c>
    </row>
    <row r="813" spans="1:40" s="174" customFormat="1" ht="15" customHeight="1">
      <c r="A813" s="63"/>
      <c r="B813" s="63"/>
      <c r="C813" s="84"/>
      <c r="D813" s="85"/>
      <c r="E813" s="62"/>
      <c r="F813" s="62"/>
      <c r="G813" s="62"/>
      <c r="H813" s="62"/>
      <c r="I813" s="62"/>
      <c r="J813" s="62"/>
      <c r="K813" s="62"/>
      <c r="L813" s="62"/>
      <c r="M813" s="62"/>
      <c r="N813" s="62"/>
      <c r="O813" s="62"/>
      <c r="P813" s="62"/>
      <c r="Q813" s="62"/>
      <c r="R813" s="62"/>
      <c r="S813" s="258"/>
      <c r="T813" s="248" t="str">
        <f t="shared" si="112"/>
        <v/>
      </c>
      <c r="U813" s="249" t="str">
        <f t="shared" si="113"/>
        <v/>
      </c>
      <c r="V813" s="294" t="str">
        <f t="shared" si="109"/>
        <v/>
      </c>
      <c r="W813" s="294" t="str">
        <f>IF(((E813="")+(F813="")),"",IF(VLOOKUP(F813,Mannschaften!$A$1:$B$54,2,FALSE)&lt;&gt;E813,"Reiter Mannschaften füllen",""))</f>
        <v/>
      </c>
      <c r="X813" s="248" t="str">
        <f>IF(ISBLANK(C813),"",IF((U813&gt;(LOOKUP(E813,WKNrListe,Übersicht!$O$7:$O$46)))+(U813&lt;(LOOKUP(E813,WKNrListe,Übersicht!$P$7:$P$46))),"JG falsch",""))</f>
        <v/>
      </c>
      <c r="Y813" s="255" t="str">
        <f>IF((A813="")*(B813=""),"",IF(ISERROR(MATCH(E813,WKNrListe,0)),"WK falsch",LOOKUP(E813,WKNrListe,Übersicht!$B$7:$B$46)))</f>
        <v/>
      </c>
      <c r="Z813" s="269" t="str">
        <f>IF(((AJ813=0)*(AH813&lt;&gt;"")*(AK813="-"))+((AJ813&lt;&gt;0)*(AH813&lt;&gt;"")*(AK813="-")),IF(AG813="X",Übersicht!$C$70,Übersicht!$C$69),"-")</f>
        <v>-</v>
      </c>
      <c r="AA813" s="252" t="str">
        <f>IF((($A813="")*($B813=""))+((MID($Y813,1,4)&lt;&gt;"Wahl")*(Deckblatt!$C$14='WK-Vorlagen'!$C$82))+(Deckblatt!$C$14&lt;&gt;'WK-Vorlagen'!$C$82),"",IF(ISERROR(MATCH(VALUE(MID(G813,1,2)),Schwierigkeitsstufen!$G$7:$G$19,0)),"Gerät falsch",LOOKUP(VALUE(MID(G813,1,2)),Schwierigkeitsstufen!$G$7:$G$19,Schwierigkeitsstufen!$H$7:$H$19)))</f>
        <v/>
      </c>
      <c r="AB813" s="250" t="str">
        <f>IF((($A813="")*($B813=""))+((MID($Y813,1,4)&lt;&gt;"Wahl")*(Deckblatt!$C$14='WK-Vorlagen'!$C$82))+(Deckblatt!$C$14&lt;&gt;'WK-Vorlagen'!$C$82),"",IF(ISERROR(MATCH(VALUE(MID(H813,1,2)),Schwierigkeitsstufen!$G$7:$G$19,0)),"Gerät falsch",LOOKUP(VALUE(MID(H813,1,2)),Schwierigkeitsstufen!$G$7:$G$19,Schwierigkeitsstufen!$H$7:$H$19)))</f>
        <v/>
      </c>
      <c r="AC813" s="250" t="str">
        <f>IF((($A813="")*($B813=""))+((MID($Y813,1,4)&lt;&gt;"Wahl")*(Deckblatt!$C$14='WK-Vorlagen'!$C$82))+(Deckblatt!$C$14&lt;&gt;'WK-Vorlagen'!$C$82),"",IF(ISERROR(MATCH(VALUE(MID(I813,1,2)),Schwierigkeitsstufen!$G$7:$G$19,0)),"Gerät falsch",LOOKUP(VALUE(MID(I813,1,2)),Schwierigkeitsstufen!$G$7:$G$19,Schwierigkeitsstufen!$H$7:$H$19)))</f>
        <v/>
      </c>
      <c r="AD813" s="251" t="str">
        <f>IF((($A813="")*($B813=""))+((MID($Y813,1,4)&lt;&gt;"Wahl")*(Deckblatt!$C$14='WK-Vorlagen'!$C$82))+(Deckblatt!$C$14&lt;&gt;'WK-Vorlagen'!$C$82),"",IF(ISERROR(MATCH(VALUE(MID(J813,1,2)),Schwierigkeitsstufen!$G$7:$G$19,0)),"Gerät falsch",LOOKUP(VALUE(MID(J813,1,2)),Schwierigkeitsstufen!$G$7:$G$19,Schwierigkeitsstufen!$H$7:$H$19)))</f>
        <v/>
      </c>
      <c r="AE813" s="211"/>
      <c r="AG813" s="221" t="str">
        <f t="shared" si="108"/>
        <v/>
      </c>
      <c r="AH813" s="222" t="str">
        <f t="shared" si="110"/>
        <v/>
      </c>
      <c r="AI813" s="220">
        <f t="shared" si="115"/>
        <v>4</v>
      </c>
      <c r="AJ813" s="222">
        <f t="shared" si="111"/>
        <v>0</v>
      </c>
      <c r="AK813" s="299" t="str">
        <f>IF(ISERROR(LOOKUP(E813,WKNrListe,Übersicht!$R$7:$R$46)),"-",LOOKUP(E813,WKNrListe,Übersicht!$R$7:$R$46))</f>
        <v>-</v>
      </c>
      <c r="AL813" s="299" t="str">
        <f t="shared" si="114"/>
        <v>-</v>
      </c>
      <c r="AM813" s="303"/>
      <c r="AN813" s="174" t="str">
        <f t="shared" si="107"/>
        <v>Leer</v>
      </c>
    </row>
    <row r="814" spans="1:40" s="174" customFormat="1" ht="15" customHeight="1">
      <c r="A814" s="63"/>
      <c r="B814" s="63"/>
      <c r="C814" s="84"/>
      <c r="D814" s="85"/>
      <c r="E814" s="62"/>
      <c r="F814" s="62"/>
      <c r="G814" s="62"/>
      <c r="H814" s="62"/>
      <c r="I814" s="62"/>
      <c r="J814" s="62"/>
      <c r="K814" s="62"/>
      <c r="L814" s="62"/>
      <c r="M814" s="62"/>
      <c r="N814" s="62"/>
      <c r="O814" s="62"/>
      <c r="P814" s="62"/>
      <c r="Q814" s="62"/>
      <c r="R814" s="62"/>
      <c r="S814" s="258"/>
      <c r="T814" s="248" t="str">
        <f t="shared" si="112"/>
        <v/>
      </c>
      <c r="U814" s="249" t="str">
        <f t="shared" si="113"/>
        <v/>
      </c>
      <c r="V814" s="294" t="str">
        <f t="shared" si="109"/>
        <v/>
      </c>
      <c r="W814" s="294" t="str">
        <f>IF(((E814="")+(F814="")),"",IF(VLOOKUP(F814,Mannschaften!$A$1:$B$54,2,FALSE)&lt;&gt;E814,"Reiter Mannschaften füllen",""))</f>
        <v/>
      </c>
      <c r="X814" s="248" t="str">
        <f>IF(ISBLANK(C814),"",IF((U814&gt;(LOOKUP(E814,WKNrListe,Übersicht!$O$7:$O$46)))+(U814&lt;(LOOKUP(E814,WKNrListe,Übersicht!$P$7:$P$46))),"JG falsch",""))</f>
        <v/>
      </c>
      <c r="Y814" s="255" t="str">
        <f>IF((A814="")*(B814=""),"",IF(ISERROR(MATCH(E814,WKNrListe,0)),"WK falsch",LOOKUP(E814,WKNrListe,Übersicht!$B$7:$B$46)))</f>
        <v/>
      </c>
      <c r="Z814" s="269" t="str">
        <f>IF(((AJ814=0)*(AH814&lt;&gt;"")*(AK814="-"))+((AJ814&lt;&gt;0)*(AH814&lt;&gt;"")*(AK814="-")),IF(AG814="X",Übersicht!$C$70,Übersicht!$C$69),"-")</f>
        <v>-</v>
      </c>
      <c r="AA814" s="252" t="str">
        <f>IF((($A814="")*($B814=""))+((MID($Y814,1,4)&lt;&gt;"Wahl")*(Deckblatt!$C$14='WK-Vorlagen'!$C$82))+(Deckblatt!$C$14&lt;&gt;'WK-Vorlagen'!$C$82),"",IF(ISERROR(MATCH(VALUE(MID(G814,1,2)),Schwierigkeitsstufen!$G$7:$G$19,0)),"Gerät falsch",LOOKUP(VALUE(MID(G814,1,2)),Schwierigkeitsstufen!$G$7:$G$19,Schwierigkeitsstufen!$H$7:$H$19)))</f>
        <v/>
      </c>
      <c r="AB814" s="250" t="str">
        <f>IF((($A814="")*($B814=""))+((MID($Y814,1,4)&lt;&gt;"Wahl")*(Deckblatt!$C$14='WK-Vorlagen'!$C$82))+(Deckblatt!$C$14&lt;&gt;'WK-Vorlagen'!$C$82),"",IF(ISERROR(MATCH(VALUE(MID(H814,1,2)),Schwierigkeitsstufen!$G$7:$G$19,0)),"Gerät falsch",LOOKUP(VALUE(MID(H814,1,2)),Schwierigkeitsstufen!$G$7:$G$19,Schwierigkeitsstufen!$H$7:$H$19)))</f>
        <v/>
      </c>
      <c r="AC814" s="250" t="str">
        <f>IF((($A814="")*($B814=""))+((MID($Y814,1,4)&lt;&gt;"Wahl")*(Deckblatt!$C$14='WK-Vorlagen'!$C$82))+(Deckblatt!$C$14&lt;&gt;'WK-Vorlagen'!$C$82),"",IF(ISERROR(MATCH(VALUE(MID(I814,1,2)),Schwierigkeitsstufen!$G$7:$G$19,0)),"Gerät falsch",LOOKUP(VALUE(MID(I814,1,2)),Schwierigkeitsstufen!$G$7:$G$19,Schwierigkeitsstufen!$H$7:$H$19)))</f>
        <v/>
      </c>
      <c r="AD814" s="251" t="str">
        <f>IF((($A814="")*($B814=""))+((MID($Y814,1,4)&lt;&gt;"Wahl")*(Deckblatt!$C$14='WK-Vorlagen'!$C$82))+(Deckblatt!$C$14&lt;&gt;'WK-Vorlagen'!$C$82),"",IF(ISERROR(MATCH(VALUE(MID(J814,1,2)),Schwierigkeitsstufen!$G$7:$G$19,0)),"Gerät falsch",LOOKUP(VALUE(MID(J814,1,2)),Schwierigkeitsstufen!$G$7:$G$19,Schwierigkeitsstufen!$H$7:$H$19)))</f>
        <v/>
      </c>
      <c r="AE814" s="211"/>
      <c r="AG814" s="221" t="str">
        <f t="shared" si="108"/>
        <v/>
      </c>
      <c r="AH814" s="222" t="str">
        <f t="shared" si="110"/>
        <v/>
      </c>
      <c r="AI814" s="220">
        <f t="shared" si="115"/>
        <v>4</v>
      </c>
      <c r="AJ814" s="222">
        <f t="shared" si="111"/>
        <v>0</v>
      </c>
      <c r="AK814" s="299" t="str">
        <f>IF(ISERROR(LOOKUP(E814,WKNrListe,Übersicht!$R$7:$R$46)),"-",LOOKUP(E814,WKNrListe,Übersicht!$R$7:$R$46))</f>
        <v>-</v>
      </c>
      <c r="AL814" s="299" t="str">
        <f t="shared" si="114"/>
        <v>-</v>
      </c>
      <c r="AM814" s="303"/>
      <c r="AN814" s="174" t="str">
        <f t="shared" si="107"/>
        <v>Leer</v>
      </c>
    </row>
    <row r="815" spans="1:40" s="174" customFormat="1" ht="15" customHeight="1">
      <c r="A815" s="63"/>
      <c r="B815" s="63"/>
      <c r="C815" s="84"/>
      <c r="D815" s="85"/>
      <c r="E815" s="62"/>
      <c r="F815" s="62"/>
      <c r="G815" s="62"/>
      <c r="H815" s="62"/>
      <c r="I815" s="62"/>
      <c r="J815" s="62"/>
      <c r="K815" s="62"/>
      <c r="L815" s="62"/>
      <c r="M815" s="62"/>
      <c r="N815" s="62"/>
      <c r="O815" s="62"/>
      <c r="P815" s="62"/>
      <c r="Q815" s="62"/>
      <c r="R815" s="62"/>
      <c r="S815" s="258"/>
      <c r="T815" s="248" t="str">
        <f t="shared" si="112"/>
        <v/>
      </c>
      <c r="U815" s="249" t="str">
        <f t="shared" si="113"/>
        <v/>
      </c>
      <c r="V815" s="294" t="str">
        <f t="shared" si="109"/>
        <v/>
      </c>
      <c r="W815" s="294" t="str">
        <f>IF(((E815="")+(F815="")),"",IF(VLOOKUP(F815,Mannschaften!$A$1:$B$54,2,FALSE)&lt;&gt;E815,"Reiter Mannschaften füllen",""))</f>
        <v/>
      </c>
      <c r="X815" s="248" t="str">
        <f>IF(ISBLANK(C815),"",IF((U815&gt;(LOOKUP(E815,WKNrListe,Übersicht!$O$7:$O$46)))+(U815&lt;(LOOKUP(E815,WKNrListe,Übersicht!$P$7:$P$46))),"JG falsch",""))</f>
        <v/>
      </c>
      <c r="Y815" s="255" t="str">
        <f>IF((A815="")*(B815=""),"",IF(ISERROR(MATCH(E815,WKNrListe,0)),"WK falsch",LOOKUP(E815,WKNrListe,Übersicht!$B$7:$B$46)))</f>
        <v/>
      </c>
      <c r="Z815" s="269" t="str">
        <f>IF(((AJ815=0)*(AH815&lt;&gt;"")*(AK815="-"))+((AJ815&lt;&gt;0)*(AH815&lt;&gt;"")*(AK815="-")),IF(AG815="X",Übersicht!$C$70,Übersicht!$C$69),"-")</f>
        <v>-</v>
      </c>
      <c r="AA815" s="252" t="str">
        <f>IF((($A815="")*($B815=""))+((MID($Y815,1,4)&lt;&gt;"Wahl")*(Deckblatt!$C$14='WK-Vorlagen'!$C$82))+(Deckblatt!$C$14&lt;&gt;'WK-Vorlagen'!$C$82),"",IF(ISERROR(MATCH(VALUE(MID(G815,1,2)),Schwierigkeitsstufen!$G$7:$G$19,0)),"Gerät falsch",LOOKUP(VALUE(MID(G815,1,2)),Schwierigkeitsstufen!$G$7:$G$19,Schwierigkeitsstufen!$H$7:$H$19)))</f>
        <v/>
      </c>
      <c r="AB815" s="250" t="str">
        <f>IF((($A815="")*($B815=""))+((MID($Y815,1,4)&lt;&gt;"Wahl")*(Deckblatt!$C$14='WK-Vorlagen'!$C$82))+(Deckblatt!$C$14&lt;&gt;'WK-Vorlagen'!$C$82),"",IF(ISERROR(MATCH(VALUE(MID(H815,1,2)),Schwierigkeitsstufen!$G$7:$G$19,0)),"Gerät falsch",LOOKUP(VALUE(MID(H815,1,2)),Schwierigkeitsstufen!$G$7:$G$19,Schwierigkeitsstufen!$H$7:$H$19)))</f>
        <v/>
      </c>
      <c r="AC815" s="250" t="str">
        <f>IF((($A815="")*($B815=""))+((MID($Y815,1,4)&lt;&gt;"Wahl")*(Deckblatt!$C$14='WK-Vorlagen'!$C$82))+(Deckblatt!$C$14&lt;&gt;'WK-Vorlagen'!$C$82),"",IF(ISERROR(MATCH(VALUE(MID(I815,1,2)),Schwierigkeitsstufen!$G$7:$G$19,0)),"Gerät falsch",LOOKUP(VALUE(MID(I815,1,2)),Schwierigkeitsstufen!$G$7:$G$19,Schwierigkeitsstufen!$H$7:$H$19)))</f>
        <v/>
      </c>
      <c r="AD815" s="251" t="str">
        <f>IF((($A815="")*($B815=""))+((MID($Y815,1,4)&lt;&gt;"Wahl")*(Deckblatt!$C$14='WK-Vorlagen'!$C$82))+(Deckblatt!$C$14&lt;&gt;'WK-Vorlagen'!$C$82),"",IF(ISERROR(MATCH(VALUE(MID(J815,1,2)),Schwierigkeitsstufen!$G$7:$G$19,0)),"Gerät falsch",LOOKUP(VALUE(MID(J815,1,2)),Schwierigkeitsstufen!$G$7:$G$19,Schwierigkeitsstufen!$H$7:$H$19)))</f>
        <v/>
      </c>
      <c r="AE815" s="211"/>
      <c r="AG815" s="221" t="str">
        <f t="shared" si="108"/>
        <v/>
      </c>
      <c r="AH815" s="222" t="str">
        <f t="shared" si="110"/>
        <v/>
      </c>
      <c r="AI815" s="220">
        <f t="shared" si="115"/>
        <v>4</v>
      </c>
      <c r="AJ815" s="222">
        <f t="shared" si="111"/>
        <v>0</v>
      </c>
      <c r="AK815" s="299" t="str">
        <f>IF(ISERROR(LOOKUP(E815,WKNrListe,Übersicht!$R$7:$R$46)),"-",LOOKUP(E815,WKNrListe,Übersicht!$R$7:$R$46))</f>
        <v>-</v>
      </c>
      <c r="AL815" s="299" t="str">
        <f t="shared" si="114"/>
        <v>-</v>
      </c>
      <c r="AM815" s="303"/>
      <c r="AN815" s="174" t="str">
        <f t="shared" ref="AN815:AN878" si="116">IF(ISBLANK(A815)*ISBLANK(B815)*ISBLANK(C815)*ISBLANK(E815)*ISBLANK(F815)*ISBLANK(G815)*ISBLANK(H815)*ISBLANK(I815)*ISBLANK(J815),"Leer","Voll")</f>
        <v>Leer</v>
      </c>
    </row>
    <row r="816" spans="1:40" s="174" customFormat="1" ht="15" customHeight="1">
      <c r="A816" s="63"/>
      <c r="B816" s="63"/>
      <c r="C816" s="84"/>
      <c r="D816" s="85"/>
      <c r="E816" s="62"/>
      <c r="F816" s="62"/>
      <c r="G816" s="62"/>
      <c r="H816" s="62"/>
      <c r="I816" s="62"/>
      <c r="J816" s="62"/>
      <c r="K816" s="62"/>
      <c r="L816" s="62"/>
      <c r="M816" s="62"/>
      <c r="N816" s="62"/>
      <c r="O816" s="62"/>
      <c r="P816" s="62"/>
      <c r="Q816" s="62"/>
      <c r="R816" s="62"/>
      <c r="S816" s="258"/>
      <c r="T816" s="248" t="str">
        <f t="shared" si="112"/>
        <v/>
      </c>
      <c r="U816" s="249" t="str">
        <f t="shared" si="113"/>
        <v/>
      </c>
      <c r="V816" s="294" t="str">
        <f t="shared" si="109"/>
        <v/>
      </c>
      <c r="W816" s="294" t="str">
        <f>IF(((E816="")+(F816="")),"",IF(VLOOKUP(F816,Mannschaften!$A$1:$B$54,2,FALSE)&lt;&gt;E816,"Reiter Mannschaften füllen",""))</f>
        <v/>
      </c>
      <c r="X816" s="248" t="str">
        <f>IF(ISBLANK(C816),"",IF((U816&gt;(LOOKUP(E816,WKNrListe,Übersicht!$O$7:$O$46)))+(U816&lt;(LOOKUP(E816,WKNrListe,Übersicht!$P$7:$P$46))),"JG falsch",""))</f>
        <v/>
      </c>
      <c r="Y816" s="255" t="str">
        <f>IF((A816="")*(B816=""),"",IF(ISERROR(MATCH(E816,WKNrListe,0)),"WK falsch",LOOKUP(E816,WKNrListe,Übersicht!$B$7:$B$46)))</f>
        <v/>
      </c>
      <c r="Z816" s="269" t="str">
        <f>IF(((AJ816=0)*(AH816&lt;&gt;"")*(AK816="-"))+((AJ816&lt;&gt;0)*(AH816&lt;&gt;"")*(AK816="-")),IF(AG816="X",Übersicht!$C$70,Übersicht!$C$69),"-")</f>
        <v>-</v>
      </c>
      <c r="AA816" s="252" t="str">
        <f>IF((($A816="")*($B816=""))+((MID($Y816,1,4)&lt;&gt;"Wahl")*(Deckblatt!$C$14='WK-Vorlagen'!$C$82))+(Deckblatt!$C$14&lt;&gt;'WK-Vorlagen'!$C$82),"",IF(ISERROR(MATCH(VALUE(MID(G816,1,2)),Schwierigkeitsstufen!$G$7:$G$19,0)),"Gerät falsch",LOOKUP(VALUE(MID(G816,1,2)),Schwierigkeitsstufen!$G$7:$G$19,Schwierigkeitsstufen!$H$7:$H$19)))</f>
        <v/>
      </c>
      <c r="AB816" s="250" t="str">
        <f>IF((($A816="")*($B816=""))+((MID($Y816,1,4)&lt;&gt;"Wahl")*(Deckblatt!$C$14='WK-Vorlagen'!$C$82))+(Deckblatt!$C$14&lt;&gt;'WK-Vorlagen'!$C$82),"",IF(ISERROR(MATCH(VALUE(MID(H816,1,2)),Schwierigkeitsstufen!$G$7:$G$19,0)),"Gerät falsch",LOOKUP(VALUE(MID(H816,1,2)),Schwierigkeitsstufen!$G$7:$G$19,Schwierigkeitsstufen!$H$7:$H$19)))</f>
        <v/>
      </c>
      <c r="AC816" s="250" t="str">
        <f>IF((($A816="")*($B816=""))+((MID($Y816,1,4)&lt;&gt;"Wahl")*(Deckblatt!$C$14='WK-Vorlagen'!$C$82))+(Deckblatt!$C$14&lt;&gt;'WK-Vorlagen'!$C$82),"",IF(ISERROR(MATCH(VALUE(MID(I816,1,2)),Schwierigkeitsstufen!$G$7:$G$19,0)),"Gerät falsch",LOOKUP(VALUE(MID(I816,1,2)),Schwierigkeitsstufen!$G$7:$G$19,Schwierigkeitsstufen!$H$7:$H$19)))</f>
        <v/>
      </c>
      <c r="AD816" s="251" t="str">
        <f>IF((($A816="")*($B816=""))+((MID($Y816,1,4)&lt;&gt;"Wahl")*(Deckblatt!$C$14='WK-Vorlagen'!$C$82))+(Deckblatt!$C$14&lt;&gt;'WK-Vorlagen'!$C$82),"",IF(ISERROR(MATCH(VALUE(MID(J816,1,2)),Schwierigkeitsstufen!$G$7:$G$19,0)),"Gerät falsch",LOOKUP(VALUE(MID(J816,1,2)),Schwierigkeitsstufen!$G$7:$G$19,Schwierigkeitsstufen!$H$7:$H$19)))</f>
        <v/>
      </c>
      <c r="AE816" s="211"/>
      <c r="AG816" s="221" t="str">
        <f t="shared" si="108"/>
        <v/>
      </c>
      <c r="AH816" s="222" t="str">
        <f t="shared" si="110"/>
        <v/>
      </c>
      <c r="AI816" s="220">
        <f t="shared" si="115"/>
        <v>4</v>
      </c>
      <c r="AJ816" s="222">
        <f t="shared" si="111"/>
        <v>0</v>
      </c>
      <c r="AK816" s="299" t="str">
        <f>IF(ISERROR(LOOKUP(E816,WKNrListe,Übersicht!$R$7:$R$46)),"-",LOOKUP(E816,WKNrListe,Übersicht!$R$7:$R$46))</f>
        <v>-</v>
      </c>
      <c r="AL816" s="299" t="str">
        <f t="shared" si="114"/>
        <v>-</v>
      </c>
      <c r="AM816" s="303"/>
      <c r="AN816" s="174" t="str">
        <f t="shared" si="116"/>
        <v>Leer</v>
      </c>
    </row>
    <row r="817" spans="1:40" s="174" customFormat="1" ht="15" customHeight="1">
      <c r="A817" s="63"/>
      <c r="B817" s="63"/>
      <c r="C817" s="84"/>
      <c r="D817" s="85"/>
      <c r="E817" s="62"/>
      <c r="F817" s="62"/>
      <c r="G817" s="62"/>
      <c r="H817" s="62"/>
      <c r="I817" s="62"/>
      <c r="J817" s="62"/>
      <c r="K817" s="62"/>
      <c r="L817" s="62"/>
      <c r="M817" s="62"/>
      <c r="N817" s="62"/>
      <c r="O817" s="62"/>
      <c r="P817" s="62"/>
      <c r="Q817" s="62"/>
      <c r="R817" s="62"/>
      <c r="S817" s="258"/>
      <c r="T817" s="248" t="str">
        <f t="shared" si="112"/>
        <v/>
      </c>
      <c r="U817" s="249" t="str">
        <f t="shared" si="113"/>
        <v/>
      </c>
      <c r="V817" s="294" t="str">
        <f t="shared" si="109"/>
        <v/>
      </c>
      <c r="W817" s="294" t="str">
        <f>IF(((E817="")+(F817="")),"",IF(VLOOKUP(F817,Mannschaften!$A$1:$B$54,2,FALSE)&lt;&gt;E817,"Reiter Mannschaften füllen",""))</f>
        <v/>
      </c>
      <c r="X817" s="248" t="str">
        <f>IF(ISBLANK(C817),"",IF((U817&gt;(LOOKUP(E817,WKNrListe,Übersicht!$O$7:$O$46)))+(U817&lt;(LOOKUP(E817,WKNrListe,Übersicht!$P$7:$P$46))),"JG falsch",""))</f>
        <v/>
      </c>
      <c r="Y817" s="255" t="str">
        <f>IF((A817="")*(B817=""),"",IF(ISERROR(MATCH(E817,WKNrListe,0)),"WK falsch",LOOKUP(E817,WKNrListe,Übersicht!$B$7:$B$46)))</f>
        <v/>
      </c>
      <c r="Z817" s="269" t="str">
        <f>IF(((AJ817=0)*(AH817&lt;&gt;"")*(AK817="-"))+((AJ817&lt;&gt;0)*(AH817&lt;&gt;"")*(AK817="-")),IF(AG817="X",Übersicht!$C$70,Übersicht!$C$69),"-")</f>
        <v>-</v>
      </c>
      <c r="AA817" s="252" t="str">
        <f>IF((($A817="")*($B817=""))+((MID($Y817,1,4)&lt;&gt;"Wahl")*(Deckblatt!$C$14='WK-Vorlagen'!$C$82))+(Deckblatt!$C$14&lt;&gt;'WK-Vorlagen'!$C$82),"",IF(ISERROR(MATCH(VALUE(MID(G817,1,2)),Schwierigkeitsstufen!$G$7:$G$19,0)),"Gerät falsch",LOOKUP(VALUE(MID(G817,1,2)),Schwierigkeitsstufen!$G$7:$G$19,Schwierigkeitsstufen!$H$7:$H$19)))</f>
        <v/>
      </c>
      <c r="AB817" s="250" t="str">
        <f>IF((($A817="")*($B817=""))+((MID($Y817,1,4)&lt;&gt;"Wahl")*(Deckblatt!$C$14='WK-Vorlagen'!$C$82))+(Deckblatt!$C$14&lt;&gt;'WK-Vorlagen'!$C$82),"",IF(ISERROR(MATCH(VALUE(MID(H817,1,2)),Schwierigkeitsstufen!$G$7:$G$19,0)),"Gerät falsch",LOOKUP(VALUE(MID(H817,1,2)),Schwierigkeitsstufen!$G$7:$G$19,Schwierigkeitsstufen!$H$7:$H$19)))</f>
        <v/>
      </c>
      <c r="AC817" s="250" t="str">
        <f>IF((($A817="")*($B817=""))+((MID($Y817,1,4)&lt;&gt;"Wahl")*(Deckblatt!$C$14='WK-Vorlagen'!$C$82))+(Deckblatt!$C$14&lt;&gt;'WK-Vorlagen'!$C$82),"",IF(ISERROR(MATCH(VALUE(MID(I817,1,2)),Schwierigkeitsstufen!$G$7:$G$19,0)),"Gerät falsch",LOOKUP(VALUE(MID(I817,1,2)),Schwierigkeitsstufen!$G$7:$G$19,Schwierigkeitsstufen!$H$7:$H$19)))</f>
        <v/>
      </c>
      <c r="AD817" s="251" t="str">
        <f>IF((($A817="")*($B817=""))+((MID($Y817,1,4)&lt;&gt;"Wahl")*(Deckblatt!$C$14='WK-Vorlagen'!$C$82))+(Deckblatt!$C$14&lt;&gt;'WK-Vorlagen'!$C$82),"",IF(ISERROR(MATCH(VALUE(MID(J817,1,2)),Schwierigkeitsstufen!$G$7:$G$19,0)),"Gerät falsch",LOOKUP(VALUE(MID(J817,1,2)),Schwierigkeitsstufen!$G$7:$G$19,Schwierigkeitsstufen!$H$7:$H$19)))</f>
        <v/>
      </c>
      <c r="AE817" s="211"/>
      <c r="AG817" s="221" t="str">
        <f t="shared" si="108"/>
        <v/>
      </c>
      <c r="AH817" s="222" t="str">
        <f t="shared" si="110"/>
        <v/>
      </c>
      <c r="AI817" s="220">
        <f t="shared" si="115"/>
        <v>4</v>
      </c>
      <c r="AJ817" s="222">
        <f t="shared" si="111"/>
        <v>0</v>
      </c>
      <c r="AK817" s="299" t="str">
        <f>IF(ISERROR(LOOKUP(E817,WKNrListe,Übersicht!$R$7:$R$46)),"-",LOOKUP(E817,WKNrListe,Übersicht!$R$7:$R$46))</f>
        <v>-</v>
      </c>
      <c r="AL817" s="299" t="str">
        <f t="shared" si="114"/>
        <v>-</v>
      </c>
      <c r="AM817" s="303"/>
      <c r="AN817" s="174" t="str">
        <f t="shared" si="116"/>
        <v>Leer</v>
      </c>
    </row>
    <row r="818" spans="1:40" s="174" customFormat="1" ht="15" customHeight="1">
      <c r="A818" s="63"/>
      <c r="B818" s="63"/>
      <c r="C818" s="84"/>
      <c r="D818" s="85"/>
      <c r="E818" s="62"/>
      <c r="F818" s="62"/>
      <c r="G818" s="62"/>
      <c r="H818" s="62"/>
      <c r="I818" s="62"/>
      <c r="J818" s="62"/>
      <c r="K818" s="62"/>
      <c r="L818" s="62"/>
      <c r="M818" s="62"/>
      <c r="N818" s="62"/>
      <c r="O818" s="62"/>
      <c r="P818" s="62"/>
      <c r="Q818" s="62"/>
      <c r="R818" s="62"/>
      <c r="S818" s="258"/>
      <c r="T818" s="248" t="str">
        <f t="shared" si="112"/>
        <v/>
      </c>
      <c r="U818" s="249" t="str">
        <f t="shared" si="113"/>
        <v/>
      </c>
      <c r="V818" s="294" t="str">
        <f t="shared" si="109"/>
        <v/>
      </c>
      <c r="W818" s="294" t="str">
        <f>IF(((E818="")+(F818="")),"",IF(VLOOKUP(F818,Mannschaften!$A$1:$B$54,2,FALSE)&lt;&gt;E818,"Reiter Mannschaften füllen",""))</f>
        <v/>
      </c>
      <c r="X818" s="248" t="str">
        <f>IF(ISBLANK(C818),"",IF((U818&gt;(LOOKUP(E818,WKNrListe,Übersicht!$O$7:$O$46)))+(U818&lt;(LOOKUP(E818,WKNrListe,Übersicht!$P$7:$P$46))),"JG falsch",""))</f>
        <v/>
      </c>
      <c r="Y818" s="255" t="str">
        <f>IF((A818="")*(B818=""),"",IF(ISERROR(MATCH(E818,WKNrListe,0)),"WK falsch",LOOKUP(E818,WKNrListe,Übersicht!$B$7:$B$46)))</f>
        <v/>
      </c>
      <c r="Z818" s="269" t="str">
        <f>IF(((AJ818=0)*(AH818&lt;&gt;"")*(AK818="-"))+((AJ818&lt;&gt;0)*(AH818&lt;&gt;"")*(AK818="-")),IF(AG818="X",Übersicht!$C$70,Übersicht!$C$69),"-")</f>
        <v>-</v>
      </c>
      <c r="AA818" s="252" t="str">
        <f>IF((($A818="")*($B818=""))+((MID($Y818,1,4)&lt;&gt;"Wahl")*(Deckblatt!$C$14='WK-Vorlagen'!$C$82))+(Deckblatt!$C$14&lt;&gt;'WK-Vorlagen'!$C$82),"",IF(ISERROR(MATCH(VALUE(MID(G818,1,2)),Schwierigkeitsstufen!$G$7:$G$19,0)),"Gerät falsch",LOOKUP(VALUE(MID(G818,1,2)),Schwierigkeitsstufen!$G$7:$G$19,Schwierigkeitsstufen!$H$7:$H$19)))</f>
        <v/>
      </c>
      <c r="AB818" s="250" t="str">
        <f>IF((($A818="")*($B818=""))+((MID($Y818,1,4)&lt;&gt;"Wahl")*(Deckblatt!$C$14='WK-Vorlagen'!$C$82))+(Deckblatt!$C$14&lt;&gt;'WK-Vorlagen'!$C$82),"",IF(ISERROR(MATCH(VALUE(MID(H818,1,2)),Schwierigkeitsstufen!$G$7:$G$19,0)),"Gerät falsch",LOOKUP(VALUE(MID(H818,1,2)),Schwierigkeitsstufen!$G$7:$G$19,Schwierigkeitsstufen!$H$7:$H$19)))</f>
        <v/>
      </c>
      <c r="AC818" s="250" t="str">
        <f>IF((($A818="")*($B818=""))+((MID($Y818,1,4)&lt;&gt;"Wahl")*(Deckblatt!$C$14='WK-Vorlagen'!$C$82))+(Deckblatt!$C$14&lt;&gt;'WK-Vorlagen'!$C$82),"",IF(ISERROR(MATCH(VALUE(MID(I818,1,2)),Schwierigkeitsstufen!$G$7:$G$19,0)),"Gerät falsch",LOOKUP(VALUE(MID(I818,1,2)),Schwierigkeitsstufen!$G$7:$G$19,Schwierigkeitsstufen!$H$7:$H$19)))</f>
        <v/>
      </c>
      <c r="AD818" s="251" t="str">
        <f>IF((($A818="")*($B818=""))+((MID($Y818,1,4)&lt;&gt;"Wahl")*(Deckblatt!$C$14='WK-Vorlagen'!$C$82))+(Deckblatt!$C$14&lt;&gt;'WK-Vorlagen'!$C$82),"",IF(ISERROR(MATCH(VALUE(MID(J818,1,2)),Schwierigkeitsstufen!$G$7:$G$19,0)),"Gerät falsch",LOOKUP(VALUE(MID(J818,1,2)),Schwierigkeitsstufen!$G$7:$G$19,Schwierigkeitsstufen!$H$7:$H$19)))</f>
        <v/>
      </c>
      <c r="AE818" s="211"/>
      <c r="AG818" s="221" t="str">
        <f t="shared" si="108"/>
        <v/>
      </c>
      <c r="AH818" s="222" t="str">
        <f t="shared" si="110"/>
        <v/>
      </c>
      <c r="AI818" s="220">
        <f t="shared" si="115"/>
        <v>4</v>
      </c>
      <c r="AJ818" s="222">
        <f t="shared" si="111"/>
        <v>0</v>
      </c>
      <c r="AK818" s="299" t="str">
        <f>IF(ISERROR(LOOKUP(E818,WKNrListe,Übersicht!$R$7:$R$46)),"-",LOOKUP(E818,WKNrListe,Übersicht!$R$7:$R$46))</f>
        <v>-</v>
      </c>
      <c r="AL818" s="299" t="str">
        <f t="shared" si="114"/>
        <v>-</v>
      </c>
      <c r="AM818" s="303"/>
      <c r="AN818" s="174" t="str">
        <f t="shared" si="116"/>
        <v>Leer</v>
      </c>
    </row>
    <row r="819" spans="1:40" s="174" customFormat="1" ht="15" customHeight="1">
      <c r="A819" s="63"/>
      <c r="B819" s="63"/>
      <c r="C819" s="84"/>
      <c r="D819" s="85"/>
      <c r="E819" s="62"/>
      <c r="F819" s="62"/>
      <c r="G819" s="62"/>
      <c r="H819" s="62"/>
      <c r="I819" s="62"/>
      <c r="J819" s="62"/>
      <c r="K819" s="62"/>
      <c r="L819" s="62"/>
      <c r="M819" s="62"/>
      <c r="N819" s="62"/>
      <c r="O819" s="62"/>
      <c r="P819" s="62"/>
      <c r="Q819" s="62"/>
      <c r="R819" s="62"/>
      <c r="S819" s="258"/>
      <c r="T819" s="248" t="str">
        <f t="shared" si="112"/>
        <v/>
      </c>
      <c r="U819" s="249" t="str">
        <f t="shared" si="113"/>
        <v/>
      </c>
      <c r="V819" s="294" t="str">
        <f t="shared" si="109"/>
        <v/>
      </c>
      <c r="W819" s="294" t="str">
        <f>IF(((E819="")+(F819="")),"",IF(VLOOKUP(F819,Mannschaften!$A$1:$B$54,2,FALSE)&lt;&gt;E819,"Reiter Mannschaften füllen",""))</f>
        <v/>
      </c>
      <c r="X819" s="248" t="str">
        <f>IF(ISBLANK(C819),"",IF((U819&gt;(LOOKUP(E819,WKNrListe,Übersicht!$O$7:$O$46)))+(U819&lt;(LOOKUP(E819,WKNrListe,Übersicht!$P$7:$P$46))),"JG falsch",""))</f>
        <v/>
      </c>
      <c r="Y819" s="255" t="str">
        <f>IF((A819="")*(B819=""),"",IF(ISERROR(MATCH(E819,WKNrListe,0)),"WK falsch",LOOKUP(E819,WKNrListe,Übersicht!$B$7:$B$46)))</f>
        <v/>
      </c>
      <c r="Z819" s="269" t="str">
        <f>IF(((AJ819=0)*(AH819&lt;&gt;"")*(AK819="-"))+((AJ819&lt;&gt;0)*(AH819&lt;&gt;"")*(AK819="-")),IF(AG819="X",Übersicht!$C$70,Übersicht!$C$69),"-")</f>
        <v>-</v>
      </c>
      <c r="AA819" s="252" t="str">
        <f>IF((($A819="")*($B819=""))+((MID($Y819,1,4)&lt;&gt;"Wahl")*(Deckblatt!$C$14='WK-Vorlagen'!$C$82))+(Deckblatt!$C$14&lt;&gt;'WK-Vorlagen'!$C$82),"",IF(ISERROR(MATCH(VALUE(MID(G819,1,2)),Schwierigkeitsstufen!$G$7:$G$19,0)),"Gerät falsch",LOOKUP(VALUE(MID(G819,1,2)),Schwierigkeitsstufen!$G$7:$G$19,Schwierigkeitsstufen!$H$7:$H$19)))</f>
        <v/>
      </c>
      <c r="AB819" s="250" t="str">
        <f>IF((($A819="")*($B819=""))+((MID($Y819,1,4)&lt;&gt;"Wahl")*(Deckblatt!$C$14='WK-Vorlagen'!$C$82))+(Deckblatt!$C$14&lt;&gt;'WK-Vorlagen'!$C$82),"",IF(ISERROR(MATCH(VALUE(MID(H819,1,2)),Schwierigkeitsstufen!$G$7:$G$19,0)),"Gerät falsch",LOOKUP(VALUE(MID(H819,1,2)),Schwierigkeitsstufen!$G$7:$G$19,Schwierigkeitsstufen!$H$7:$H$19)))</f>
        <v/>
      </c>
      <c r="AC819" s="250" t="str">
        <f>IF((($A819="")*($B819=""))+((MID($Y819,1,4)&lt;&gt;"Wahl")*(Deckblatt!$C$14='WK-Vorlagen'!$C$82))+(Deckblatt!$C$14&lt;&gt;'WK-Vorlagen'!$C$82),"",IF(ISERROR(MATCH(VALUE(MID(I819,1,2)),Schwierigkeitsstufen!$G$7:$G$19,0)),"Gerät falsch",LOOKUP(VALUE(MID(I819,1,2)),Schwierigkeitsstufen!$G$7:$G$19,Schwierigkeitsstufen!$H$7:$H$19)))</f>
        <v/>
      </c>
      <c r="AD819" s="251" t="str">
        <f>IF((($A819="")*($B819=""))+((MID($Y819,1,4)&lt;&gt;"Wahl")*(Deckblatt!$C$14='WK-Vorlagen'!$C$82))+(Deckblatt!$C$14&lt;&gt;'WK-Vorlagen'!$C$82),"",IF(ISERROR(MATCH(VALUE(MID(J819,1,2)),Schwierigkeitsstufen!$G$7:$G$19,0)),"Gerät falsch",LOOKUP(VALUE(MID(J819,1,2)),Schwierigkeitsstufen!$G$7:$G$19,Schwierigkeitsstufen!$H$7:$H$19)))</f>
        <v/>
      </c>
      <c r="AE819" s="211"/>
      <c r="AG819" s="221" t="str">
        <f t="shared" si="108"/>
        <v/>
      </c>
      <c r="AH819" s="222" t="str">
        <f t="shared" si="110"/>
        <v/>
      </c>
      <c r="AI819" s="220">
        <f t="shared" si="115"/>
        <v>4</v>
      </c>
      <c r="AJ819" s="222">
        <f t="shared" si="111"/>
        <v>0</v>
      </c>
      <c r="AK819" s="299" t="str">
        <f>IF(ISERROR(LOOKUP(E819,WKNrListe,Übersicht!$R$7:$R$46)),"-",LOOKUP(E819,WKNrListe,Übersicht!$R$7:$R$46))</f>
        <v>-</v>
      </c>
      <c r="AL819" s="299" t="str">
        <f t="shared" si="114"/>
        <v>-</v>
      </c>
      <c r="AM819" s="303"/>
      <c r="AN819" s="174" t="str">
        <f t="shared" si="116"/>
        <v>Leer</v>
      </c>
    </row>
    <row r="820" spans="1:40" s="174" customFormat="1" ht="15" customHeight="1">
      <c r="A820" s="63"/>
      <c r="B820" s="63"/>
      <c r="C820" s="84"/>
      <c r="D820" s="85"/>
      <c r="E820" s="62"/>
      <c r="F820" s="62"/>
      <c r="G820" s="62"/>
      <c r="H820" s="62"/>
      <c r="I820" s="62"/>
      <c r="J820" s="62"/>
      <c r="K820" s="62"/>
      <c r="L820" s="62"/>
      <c r="M820" s="62"/>
      <c r="N820" s="62"/>
      <c r="O820" s="62"/>
      <c r="P820" s="62"/>
      <c r="Q820" s="62"/>
      <c r="R820" s="62"/>
      <c r="S820" s="258"/>
      <c r="T820" s="248" t="str">
        <f t="shared" si="112"/>
        <v/>
      </c>
      <c r="U820" s="249" t="str">
        <f t="shared" si="113"/>
        <v/>
      </c>
      <c r="V820" s="294" t="str">
        <f t="shared" si="109"/>
        <v/>
      </c>
      <c r="W820" s="294" t="str">
        <f>IF(((E820="")+(F820="")),"",IF(VLOOKUP(F820,Mannschaften!$A$1:$B$54,2,FALSE)&lt;&gt;E820,"Reiter Mannschaften füllen",""))</f>
        <v/>
      </c>
      <c r="X820" s="248" t="str">
        <f>IF(ISBLANK(C820),"",IF((U820&gt;(LOOKUP(E820,WKNrListe,Übersicht!$O$7:$O$46)))+(U820&lt;(LOOKUP(E820,WKNrListe,Übersicht!$P$7:$P$46))),"JG falsch",""))</f>
        <v/>
      </c>
      <c r="Y820" s="255" t="str">
        <f>IF((A820="")*(B820=""),"",IF(ISERROR(MATCH(E820,WKNrListe,0)),"WK falsch",LOOKUP(E820,WKNrListe,Übersicht!$B$7:$B$46)))</f>
        <v/>
      </c>
      <c r="Z820" s="269" t="str">
        <f>IF(((AJ820=0)*(AH820&lt;&gt;"")*(AK820="-"))+((AJ820&lt;&gt;0)*(AH820&lt;&gt;"")*(AK820="-")),IF(AG820="X",Übersicht!$C$70,Übersicht!$C$69),"-")</f>
        <v>-</v>
      </c>
      <c r="AA820" s="252" t="str">
        <f>IF((($A820="")*($B820=""))+((MID($Y820,1,4)&lt;&gt;"Wahl")*(Deckblatt!$C$14='WK-Vorlagen'!$C$82))+(Deckblatt!$C$14&lt;&gt;'WK-Vorlagen'!$C$82),"",IF(ISERROR(MATCH(VALUE(MID(G820,1,2)),Schwierigkeitsstufen!$G$7:$G$19,0)),"Gerät falsch",LOOKUP(VALUE(MID(G820,1,2)),Schwierigkeitsstufen!$G$7:$G$19,Schwierigkeitsstufen!$H$7:$H$19)))</f>
        <v/>
      </c>
      <c r="AB820" s="250" t="str">
        <f>IF((($A820="")*($B820=""))+((MID($Y820,1,4)&lt;&gt;"Wahl")*(Deckblatt!$C$14='WK-Vorlagen'!$C$82))+(Deckblatt!$C$14&lt;&gt;'WK-Vorlagen'!$C$82),"",IF(ISERROR(MATCH(VALUE(MID(H820,1,2)),Schwierigkeitsstufen!$G$7:$G$19,0)),"Gerät falsch",LOOKUP(VALUE(MID(H820,1,2)),Schwierigkeitsstufen!$G$7:$G$19,Schwierigkeitsstufen!$H$7:$H$19)))</f>
        <v/>
      </c>
      <c r="AC820" s="250" t="str">
        <f>IF((($A820="")*($B820=""))+((MID($Y820,1,4)&lt;&gt;"Wahl")*(Deckblatt!$C$14='WK-Vorlagen'!$C$82))+(Deckblatt!$C$14&lt;&gt;'WK-Vorlagen'!$C$82),"",IF(ISERROR(MATCH(VALUE(MID(I820,1,2)),Schwierigkeitsstufen!$G$7:$G$19,0)),"Gerät falsch",LOOKUP(VALUE(MID(I820,1,2)),Schwierigkeitsstufen!$G$7:$G$19,Schwierigkeitsstufen!$H$7:$H$19)))</f>
        <v/>
      </c>
      <c r="AD820" s="251" t="str">
        <f>IF((($A820="")*($B820=""))+((MID($Y820,1,4)&lt;&gt;"Wahl")*(Deckblatt!$C$14='WK-Vorlagen'!$C$82))+(Deckblatt!$C$14&lt;&gt;'WK-Vorlagen'!$C$82),"",IF(ISERROR(MATCH(VALUE(MID(J820,1,2)),Schwierigkeitsstufen!$G$7:$G$19,0)),"Gerät falsch",LOOKUP(VALUE(MID(J820,1,2)),Schwierigkeitsstufen!$G$7:$G$19,Schwierigkeitsstufen!$H$7:$H$19)))</f>
        <v/>
      </c>
      <c r="AE820" s="211"/>
      <c r="AG820" s="221" t="str">
        <f t="shared" si="108"/>
        <v/>
      </c>
      <c r="AH820" s="222" t="str">
        <f t="shared" si="110"/>
        <v/>
      </c>
      <c r="AI820" s="220">
        <f t="shared" si="115"/>
        <v>4</v>
      </c>
      <c r="AJ820" s="222">
        <f t="shared" si="111"/>
        <v>0</v>
      </c>
      <c r="AK820" s="299" t="str">
        <f>IF(ISERROR(LOOKUP(E820,WKNrListe,Übersicht!$R$7:$R$46)),"-",LOOKUP(E820,WKNrListe,Übersicht!$R$7:$R$46))</f>
        <v>-</v>
      </c>
      <c r="AL820" s="299" t="str">
        <f t="shared" si="114"/>
        <v>-</v>
      </c>
      <c r="AM820" s="303"/>
      <c r="AN820" s="174" t="str">
        <f t="shared" si="116"/>
        <v>Leer</v>
      </c>
    </row>
    <row r="821" spans="1:40" s="174" customFormat="1" ht="15" customHeight="1">
      <c r="A821" s="63"/>
      <c r="B821" s="63"/>
      <c r="C821" s="84"/>
      <c r="D821" s="85"/>
      <c r="E821" s="62"/>
      <c r="F821" s="62"/>
      <c r="G821" s="62"/>
      <c r="H821" s="62"/>
      <c r="I821" s="62"/>
      <c r="J821" s="62"/>
      <c r="K821" s="62"/>
      <c r="L821" s="62"/>
      <c r="M821" s="62"/>
      <c r="N821" s="62"/>
      <c r="O821" s="62"/>
      <c r="P821" s="62"/>
      <c r="Q821" s="62"/>
      <c r="R821" s="62"/>
      <c r="S821" s="258"/>
      <c r="T821" s="248" t="str">
        <f t="shared" si="112"/>
        <v/>
      </c>
      <c r="U821" s="249" t="str">
        <f t="shared" si="113"/>
        <v/>
      </c>
      <c r="V821" s="294" t="str">
        <f t="shared" si="109"/>
        <v/>
      </c>
      <c r="W821" s="294" t="str">
        <f>IF(((E821="")+(F821="")),"",IF(VLOOKUP(F821,Mannschaften!$A$1:$B$54,2,FALSE)&lt;&gt;E821,"Reiter Mannschaften füllen",""))</f>
        <v/>
      </c>
      <c r="X821" s="248" t="str">
        <f>IF(ISBLANK(C821),"",IF((U821&gt;(LOOKUP(E821,WKNrListe,Übersicht!$O$7:$O$46)))+(U821&lt;(LOOKUP(E821,WKNrListe,Übersicht!$P$7:$P$46))),"JG falsch",""))</f>
        <v/>
      </c>
      <c r="Y821" s="255" t="str">
        <f>IF((A821="")*(B821=""),"",IF(ISERROR(MATCH(E821,WKNrListe,0)),"WK falsch",LOOKUP(E821,WKNrListe,Übersicht!$B$7:$B$46)))</f>
        <v/>
      </c>
      <c r="Z821" s="269" t="str">
        <f>IF(((AJ821=0)*(AH821&lt;&gt;"")*(AK821="-"))+((AJ821&lt;&gt;0)*(AH821&lt;&gt;"")*(AK821="-")),IF(AG821="X",Übersicht!$C$70,Übersicht!$C$69),"-")</f>
        <v>-</v>
      </c>
      <c r="AA821" s="252" t="str">
        <f>IF((($A821="")*($B821=""))+((MID($Y821,1,4)&lt;&gt;"Wahl")*(Deckblatt!$C$14='WK-Vorlagen'!$C$82))+(Deckblatt!$C$14&lt;&gt;'WK-Vorlagen'!$C$82),"",IF(ISERROR(MATCH(VALUE(MID(G821,1,2)),Schwierigkeitsstufen!$G$7:$G$19,0)),"Gerät falsch",LOOKUP(VALUE(MID(G821,1,2)),Schwierigkeitsstufen!$G$7:$G$19,Schwierigkeitsstufen!$H$7:$H$19)))</f>
        <v/>
      </c>
      <c r="AB821" s="250" t="str">
        <f>IF((($A821="")*($B821=""))+((MID($Y821,1,4)&lt;&gt;"Wahl")*(Deckblatt!$C$14='WK-Vorlagen'!$C$82))+(Deckblatt!$C$14&lt;&gt;'WK-Vorlagen'!$C$82),"",IF(ISERROR(MATCH(VALUE(MID(H821,1,2)),Schwierigkeitsstufen!$G$7:$G$19,0)),"Gerät falsch",LOOKUP(VALUE(MID(H821,1,2)),Schwierigkeitsstufen!$G$7:$G$19,Schwierigkeitsstufen!$H$7:$H$19)))</f>
        <v/>
      </c>
      <c r="AC821" s="250" t="str">
        <f>IF((($A821="")*($B821=""))+((MID($Y821,1,4)&lt;&gt;"Wahl")*(Deckblatt!$C$14='WK-Vorlagen'!$C$82))+(Deckblatt!$C$14&lt;&gt;'WK-Vorlagen'!$C$82),"",IF(ISERROR(MATCH(VALUE(MID(I821,1,2)),Schwierigkeitsstufen!$G$7:$G$19,0)),"Gerät falsch",LOOKUP(VALUE(MID(I821,1,2)),Schwierigkeitsstufen!$G$7:$G$19,Schwierigkeitsstufen!$H$7:$H$19)))</f>
        <v/>
      </c>
      <c r="AD821" s="251" t="str">
        <f>IF((($A821="")*($B821=""))+((MID($Y821,1,4)&lt;&gt;"Wahl")*(Deckblatt!$C$14='WK-Vorlagen'!$C$82))+(Deckblatt!$C$14&lt;&gt;'WK-Vorlagen'!$C$82),"",IF(ISERROR(MATCH(VALUE(MID(J821,1,2)),Schwierigkeitsstufen!$G$7:$G$19,0)),"Gerät falsch",LOOKUP(VALUE(MID(J821,1,2)),Schwierigkeitsstufen!$G$7:$G$19,Schwierigkeitsstufen!$H$7:$H$19)))</f>
        <v/>
      </c>
      <c r="AE821" s="211"/>
      <c r="AG821" s="221" t="str">
        <f t="shared" si="108"/>
        <v/>
      </c>
      <c r="AH821" s="222" t="str">
        <f t="shared" si="110"/>
        <v/>
      </c>
      <c r="AI821" s="220">
        <f t="shared" si="115"/>
        <v>4</v>
      </c>
      <c r="AJ821" s="222">
        <f t="shared" si="111"/>
        <v>0</v>
      </c>
      <c r="AK821" s="299" t="str">
        <f>IF(ISERROR(LOOKUP(E821,WKNrListe,Übersicht!$R$7:$R$46)),"-",LOOKUP(E821,WKNrListe,Übersicht!$R$7:$R$46))</f>
        <v>-</v>
      </c>
      <c r="AL821" s="299" t="str">
        <f t="shared" si="114"/>
        <v>-</v>
      </c>
      <c r="AM821" s="303"/>
      <c r="AN821" s="174" t="str">
        <f t="shared" si="116"/>
        <v>Leer</v>
      </c>
    </row>
    <row r="822" spans="1:40" s="174" customFormat="1" ht="15" customHeight="1">
      <c r="A822" s="63"/>
      <c r="B822" s="63"/>
      <c r="C822" s="84"/>
      <c r="D822" s="85"/>
      <c r="E822" s="62"/>
      <c r="F822" s="62"/>
      <c r="G822" s="62"/>
      <c r="H822" s="62"/>
      <c r="I822" s="62"/>
      <c r="J822" s="62"/>
      <c r="K822" s="62"/>
      <c r="L822" s="62"/>
      <c r="M822" s="62"/>
      <c r="N822" s="62"/>
      <c r="O822" s="62"/>
      <c r="P822" s="62"/>
      <c r="Q822" s="62"/>
      <c r="R822" s="62"/>
      <c r="S822" s="258"/>
      <c r="T822" s="248" t="str">
        <f t="shared" si="112"/>
        <v/>
      </c>
      <c r="U822" s="249" t="str">
        <f t="shared" si="113"/>
        <v/>
      </c>
      <c r="V822" s="294" t="str">
        <f t="shared" si="109"/>
        <v/>
      </c>
      <c r="W822" s="294" t="str">
        <f>IF(((E822="")+(F822="")),"",IF(VLOOKUP(F822,Mannschaften!$A$1:$B$54,2,FALSE)&lt;&gt;E822,"Reiter Mannschaften füllen",""))</f>
        <v/>
      </c>
      <c r="X822" s="248" t="str">
        <f>IF(ISBLANK(C822),"",IF((U822&gt;(LOOKUP(E822,WKNrListe,Übersicht!$O$7:$O$46)))+(U822&lt;(LOOKUP(E822,WKNrListe,Übersicht!$P$7:$P$46))),"JG falsch",""))</f>
        <v/>
      </c>
      <c r="Y822" s="255" t="str">
        <f>IF((A822="")*(B822=""),"",IF(ISERROR(MATCH(E822,WKNrListe,0)),"WK falsch",LOOKUP(E822,WKNrListe,Übersicht!$B$7:$B$46)))</f>
        <v/>
      </c>
      <c r="Z822" s="269" t="str">
        <f>IF(((AJ822=0)*(AH822&lt;&gt;"")*(AK822="-"))+((AJ822&lt;&gt;0)*(AH822&lt;&gt;"")*(AK822="-")),IF(AG822="X",Übersicht!$C$70,Übersicht!$C$69),"-")</f>
        <v>-</v>
      </c>
      <c r="AA822" s="252" t="str">
        <f>IF((($A822="")*($B822=""))+((MID($Y822,1,4)&lt;&gt;"Wahl")*(Deckblatt!$C$14='WK-Vorlagen'!$C$82))+(Deckblatt!$C$14&lt;&gt;'WK-Vorlagen'!$C$82),"",IF(ISERROR(MATCH(VALUE(MID(G822,1,2)),Schwierigkeitsstufen!$G$7:$G$19,0)),"Gerät falsch",LOOKUP(VALUE(MID(G822,1,2)),Schwierigkeitsstufen!$G$7:$G$19,Schwierigkeitsstufen!$H$7:$H$19)))</f>
        <v/>
      </c>
      <c r="AB822" s="250" t="str">
        <f>IF((($A822="")*($B822=""))+((MID($Y822,1,4)&lt;&gt;"Wahl")*(Deckblatt!$C$14='WK-Vorlagen'!$C$82))+(Deckblatt!$C$14&lt;&gt;'WK-Vorlagen'!$C$82),"",IF(ISERROR(MATCH(VALUE(MID(H822,1,2)),Schwierigkeitsstufen!$G$7:$G$19,0)),"Gerät falsch",LOOKUP(VALUE(MID(H822,1,2)),Schwierigkeitsstufen!$G$7:$G$19,Schwierigkeitsstufen!$H$7:$H$19)))</f>
        <v/>
      </c>
      <c r="AC822" s="250" t="str">
        <f>IF((($A822="")*($B822=""))+((MID($Y822,1,4)&lt;&gt;"Wahl")*(Deckblatt!$C$14='WK-Vorlagen'!$C$82))+(Deckblatt!$C$14&lt;&gt;'WK-Vorlagen'!$C$82),"",IF(ISERROR(MATCH(VALUE(MID(I822,1,2)),Schwierigkeitsstufen!$G$7:$G$19,0)),"Gerät falsch",LOOKUP(VALUE(MID(I822,1,2)),Schwierigkeitsstufen!$G$7:$G$19,Schwierigkeitsstufen!$H$7:$H$19)))</f>
        <v/>
      </c>
      <c r="AD822" s="251" t="str">
        <f>IF((($A822="")*($B822=""))+((MID($Y822,1,4)&lt;&gt;"Wahl")*(Deckblatt!$C$14='WK-Vorlagen'!$C$82))+(Deckblatt!$C$14&lt;&gt;'WK-Vorlagen'!$C$82),"",IF(ISERROR(MATCH(VALUE(MID(J822,1,2)),Schwierigkeitsstufen!$G$7:$G$19,0)),"Gerät falsch",LOOKUP(VALUE(MID(J822,1,2)),Schwierigkeitsstufen!$G$7:$G$19,Schwierigkeitsstufen!$H$7:$H$19)))</f>
        <v/>
      </c>
      <c r="AE822" s="211"/>
      <c r="AG822" s="221" t="str">
        <f t="shared" si="108"/>
        <v/>
      </c>
      <c r="AH822" s="222" t="str">
        <f t="shared" si="110"/>
        <v/>
      </c>
      <c r="AI822" s="220">
        <f t="shared" si="115"/>
        <v>4</v>
      </c>
      <c r="AJ822" s="222">
        <f t="shared" si="111"/>
        <v>0</v>
      </c>
      <c r="AK822" s="299" t="str">
        <f>IF(ISERROR(LOOKUP(E822,WKNrListe,Übersicht!$R$7:$R$46)),"-",LOOKUP(E822,WKNrListe,Übersicht!$R$7:$R$46))</f>
        <v>-</v>
      </c>
      <c r="AL822" s="299" t="str">
        <f t="shared" si="114"/>
        <v>-</v>
      </c>
      <c r="AM822" s="303"/>
      <c r="AN822" s="174" t="str">
        <f t="shared" si="116"/>
        <v>Leer</v>
      </c>
    </row>
    <row r="823" spans="1:40" s="174" customFormat="1" ht="15" customHeight="1">
      <c r="A823" s="63"/>
      <c r="B823" s="63"/>
      <c r="C823" s="84"/>
      <c r="D823" s="85"/>
      <c r="E823" s="62"/>
      <c r="F823" s="62"/>
      <c r="G823" s="62"/>
      <c r="H823" s="62"/>
      <c r="I823" s="62"/>
      <c r="J823" s="62"/>
      <c r="K823" s="62"/>
      <c r="L823" s="62"/>
      <c r="M823" s="62"/>
      <c r="N823" s="62"/>
      <c r="O823" s="62"/>
      <c r="P823" s="62"/>
      <c r="Q823" s="62"/>
      <c r="R823" s="62"/>
      <c r="S823" s="258"/>
      <c r="T823" s="248" t="str">
        <f t="shared" si="112"/>
        <v/>
      </c>
      <c r="U823" s="249" t="str">
        <f t="shared" si="113"/>
        <v/>
      </c>
      <c r="V823" s="294" t="str">
        <f t="shared" si="109"/>
        <v/>
      </c>
      <c r="W823" s="294" t="str">
        <f>IF(((E823="")+(F823="")),"",IF(VLOOKUP(F823,Mannschaften!$A$1:$B$54,2,FALSE)&lt;&gt;E823,"Reiter Mannschaften füllen",""))</f>
        <v/>
      </c>
      <c r="X823" s="248" t="str">
        <f>IF(ISBLANK(C823),"",IF((U823&gt;(LOOKUP(E823,WKNrListe,Übersicht!$O$7:$O$46)))+(U823&lt;(LOOKUP(E823,WKNrListe,Übersicht!$P$7:$P$46))),"JG falsch",""))</f>
        <v/>
      </c>
      <c r="Y823" s="255" t="str">
        <f>IF((A823="")*(B823=""),"",IF(ISERROR(MATCH(E823,WKNrListe,0)),"WK falsch",LOOKUP(E823,WKNrListe,Übersicht!$B$7:$B$46)))</f>
        <v/>
      </c>
      <c r="Z823" s="269" t="str">
        <f>IF(((AJ823=0)*(AH823&lt;&gt;"")*(AK823="-"))+((AJ823&lt;&gt;0)*(AH823&lt;&gt;"")*(AK823="-")),IF(AG823="X",Übersicht!$C$70,Übersicht!$C$69),"-")</f>
        <v>-</v>
      </c>
      <c r="AA823" s="252" t="str">
        <f>IF((($A823="")*($B823=""))+((MID($Y823,1,4)&lt;&gt;"Wahl")*(Deckblatt!$C$14='WK-Vorlagen'!$C$82))+(Deckblatt!$C$14&lt;&gt;'WK-Vorlagen'!$C$82),"",IF(ISERROR(MATCH(VALUE(MID(G823,1,2)),Schwierigkeitsstufen!$G$7:$G$19,0)),"Gerät falsch",LOOKUP(VALUE(MID(G823,1,2)),Schwierigkeitsstufen!$G$7:$G$19,Schwierigkeitsstufen!$H$7:$H$19)))</f>
        <v/>
      </c>
      <c r="AB823" s="250" t="str">
        <f>IF((($A823="")*($B823=""))+((MID($Y823,1,4)&lt;&gt;"Wahl")*(Deckblatt!$C$14='WK-Vorlagen'!$C$82))+(Deckblatt!$C$14&lt;&gt;'WK-Vorlagen'!$C$82),"",IF(ISERROR(MATCH(VALUE(MID(H823,1,2)),Schwierigkeitsstufen!$G$7:$G$19,0)),"Gerät falsch",LOOKUP(VALUE(MID(H823,1,2)),Schwierigkeitsstufen!$G$7:$G$19,Schwierigkeitsstufen!$H$7:$H$19)))</f>
        <v/>
      </c>
      <c r="AC823" s="250" t="str">
        <f>IF((($A823="")*($B823=""))+((MID($Y823,1,4)&lt;&gt;"Wahl")*(Deckblatt!$C$14='WK-Vorlagen'!$C$82))+(Deckblatt!$C$14&lt;&gt;'WK-Vorlagen'!$C$82),"",IF(ISERROR(MATCH(VALUE(MID(I823,1,2)),Schwierigkeitsstufen!$G$7:$G$19,0)),"Gerät falsch",LOOKUP(VALUE(MID(I823,1,2)),Schwierigkeitsstufen!$G$7:$G$19,Schwierigkeitsstufen!$H$7:$H$19)))</f>
        <v/>
      </c>
      <c r="AD823" s="251" t="str">
        <f>IF((($A823="")*($B823=""))+((MID($Y823,1,4)&lt;&gt;"Wahl")*(Deckblatt!$C$14='WK-Vorlagen'!$C$82))+(Deckblatt!$C$14&lt;&gt;'WK-Vorlagen'!$C$82),"",IF(ISERROR(MATCH(VALUE(MID(J823,1,2)),Schwierigkeitsstufen!$G$7:$G$19,0)),"Gerät falsch",LOOKUP(VALUE(MID(J823,1,2)),Schwierigkeitsstufen!$G$7:$G$19,Schwierigkeitsstufen!$H$7:$H$19)))</f>
        <v/>
      </c>
      <c r="AE823" s="211"/>
      <c r="AG823" s="221" t="str">
        <f t="shared" si="108"/>
        <v/>
      </c>
      <c r="AH823" s="222" t="str">
        <f t="shared" si="110"/>
        <v/>
      </c>
      <c r="AI823" s="220">
        <f t="shared" si="115"/>
        <v>4</v>
      </c>
      <c r="AJ823" s="222">
        <f t="shared" si="111"/>
        <v>0</v>
      </c>
      <c r="AK823" s="299" t="str">
        <f>IF(ISERROR(LOOKUP(E823,WKNrListe,Übersicht!$R$7:$R$46)),"-",LOOKUP(E823,WKNrListe,Übersicht!$R$7:$R$46))</f>
        <v>-</v>
      </c>
      <c r="AL823" s="299" t="str">
        <f t="shared" si="114"/>
        <v>-</v>
      </c>
      <c r="AM823" s="303"/>
      <c r="AN823" s="174" t="str">
        <f t="shared" si="116"/>
        <v>Leer</v>
      </c>
    </row>
    <row r="824" spans="1:40" s="174" customFormat="1" ht="15" customHeight="1">
      <c r="A824" s="63"/>
      <c r="B824" s="63"/>
      <c r="C824" s="84"/>
      <c r="D824" s="85"/>
      <c r="E824" s="62"/>
      <c r="F824" s="62"/>
      <c r="G824" s="62"/>
      <c r="H824" s="62"/>
      <c r="I824" s="62"/>
      <c r="J824" s="62"/>
      <c r="K824" s="62"/>
      <c r="L824" s="62"/>
      <c r="M824" s="62"/>
      <c r="N824" s="62"/>
      <c r="O824" s="62"/>
      <c r="P824" s="62"/>
      <c r="Q824" s="62"/>
      <c r="R824" s="62"/>
      <c r="S824" s="258"/>
      <c r="T824" s="248" t="str">
        <f t="shared" si="112"/>
        <v/>
      </c>
      <c r="U824" s="249" t="str">
        <f t="shared" si="113"/>
        <v/>
      </c>
      <c r="V824" s="294" t="str">
        <f t="shared" si="109"/>
        <v/>
      </c>
      <c r="W824" s="294" t="str">
        <f>IF(((E824="")+(F824="")),"",IF(VLOOKUP(F824,Mannschaften!$A$1:$B$54,2,FALSE)&lt;&gt;E824,"Reiter Mannschaften füllen",""))</f>
        <v/>
      </c>
      <c r="X824" s="248" t="str">
        <f>IF(ISBLANK(C824),"",IF((U824&gt;(LOOKUP(E824,WKNrListe,Übersicht!$O$7:$O$46)))+(U824&lt;(LOOKUP(E824,WKNrListe,Übersicht!$P$7:$P$46))),"JG falsch",""))</f>
        <v/>
      </c>
      <c r="Y824" s="255" t="str">
        <f>IF((A824="")*(B824=""),"",IF(ISERROR(MATCH(E824,WKNrListe,0)),"WK falsch",LOOKUP(E824,WKNrListe,Übersicht!$B$7:$B$46)))</f>
        <v/>
      </c>
      <c r="Z824" s="269" t="str">
        <f>IF(((AJ824=0)*(AH824&lt;&gt;"")*(AK824="-"))+((AJ824&lt;&gt;0)*(AH824&lt;&gt;"")*(AK824="-")),IF(AG824="X",Übersicht!$C$70,Übersicht!$C$69),"-")</f>
        <v>-</v>
      </c>
      <c r="AA824" s="252" t="str">
        <f>IF((($A824="")*($B824=""))+((MID($Y824,1,4)&lt;&gt;"Wahl")*(Deckblatt!$C$14='WK-Vorlagen'!$C$82))+(Deckblatt!$C$14&lt;&gt;'WK-Vorlagen'!$C$82),"",IF(ISERROR(MATCH(VALUE(MID(G824,1,2)),Schwierigkeitsstufen!$G$7:$G$19,0)),"Gerät falsch",LOOKUP(VALUE(MID(G824,1,2)),Schwierigkeitsstufen!$G$7:$G$19,Schwierigkeitsstufen!$H$7:$H$19)))</f>
        <v/>
      </c>
      <c r="AB824" s="250" t="str">
        <f>IF((($A824="")*($B824=""))+((MID($Y824,1,4)&lt;&gt;"Wahl")*(Deckblatt!$C$14='WK-Vorlagen'!$C$82))+(Deckblatt!$C$14&lt;&gt;'WK-Vorlagen'!$C$82),"",IF(ISERROR(MATCH(VALUE(MID(H824,1,2)),Schwierigkeitsstufen!$G$7:$G$19,0)),"Gerät falsch",LOOKUP(VALUE(MID(H824,1,2)),Schwierigkeitsstufen!$G$7:$G$19,Schwierigkeitsstufen!$H$7:$H$19)))</f>
        <v/>
      </c>
      <c r="AC824" s="250" t="str">
        <f>IF((($A824="")*($B824=""))+((MID($Y824,1,4)&lt;&gt;"Wahl")*(Deckblatt!$C$14='WK-Vorlagen'!$C$82))+(Deckblatt!$C$14&lt;&gt;'WK-Vorlagen'!$C$82),"",IF(ISERROR(MATCH(VALUE(MID(I824,1,2)),Schwierigkeitsstufen!$G$7:$G$19,0)),"Gerät falsch",LOOKUP(VALUE(MID(I824,1,2)),Schwierigkeitsstufen!$G$7:$G$19,Schwierigkeitsstufen!$H$7:$H$19)))</f>
        <v/>
      </c>
      <c r="AD824" s="251" t="str">
        <f>IF((($A824="")*($B824=""))+((MID($Y824,1,4)&lt;&gt;"Wahl")*(Deckblatt!$C$14='WK-Vorlagen'!$C$82))+(Deckblatt!$C$14&lt;&gt;'WK-Vorlagen'!$C$82),"",IF(ISERROR(MATCH(VALUE(MID(J824,1,2)),Schwierigkeitsstufen!$G$7:$G$19,0)),"Gerät falsch",LOOKUP(VALUE(MID(J824,1,2)),Schwierigkeitsstufen!$G$7:$G$19,Schwierigkeitsstufen!$H$7:$H$19)))</f>
        <v/>
      </c>
      <c r="AE824" s="211"/>
      <c r="AG824" s="221" t="str">
        <f t="shared" si="108"/>
        <v/>
      </c>
      <c r="AH824" s="222" t="str">
        <f t="shared" si="110"/>
        <v/>
      </c>
      <c r="AI824" s="220">
        <f t="shared" si="115"/>
        <v>4</v>
      </c>
      <c r="AJ824" s="222">
        <f t="shared" si="111"/>
        <v>0</v>
      </c>
      <c r="AK824" s="299" t="str">
        <f>IF(ISERROR(LOOKUP(E824,WKNrListe,Übersicht!$R$7:$R$46)),"-",LOOKUP(E824,WKNrListe,Übersicht!$R$7:$R$46))</f>
        <v>-</v>
      </c>
      <c r="AL824" s="299" t="str">
        <f t="shared" si="114"/>
        <v>-</v>
      </c>
      <c r="AM824" s="303"/>
      <c r="AN824" s="174" t="str">
        <f t="shared" si="116"/>
        <v>Leer</v>
      </c>
    </row>
    <row r="825" spans="1:40" s="174" customFormat="1" ht="15" customHeight="1">
      <c r="A825" s="63"/>
      <c r="B825" s="63"/>
      <c r="C825" s="84"/>
      <c r="D825" s="85"/>
      <c r="E825" s="62"/>
      <c r="F825" s="62"/>
      <c r="G825" s="62"/>
      <c r="H825" s="62"/>
      <c r="I825" s="62"/>
      <c r="J825" s="62"/>
      <c r="K825" s="62"/>
      <c r="L825" s="62"/>
      <c r="M825" s="62"/>
      <c r="N825" s="62"/>
      <c r="O825" s="62"/>
      <c r="P825" s="62"/>
      <c r="Q825" s="62"/>
      <c r="R825" s="62"/>
      <c r="S825" s="258"/>
      <c r="T825" s="248" t="str">
        <f t="shared" si="112"/>
        <v/>
      </c>
      <c r="U825" s="249" t="str">
        <f t="shared" si="113"/>
        <v/>
      </c>
      <c r="V825" s="294" t="str">
        <f t="shared" si="109"/>
        <v/>
      </c>
      <c r="W825" s="294" t="str">
        <f>IF(((E825="")+(F825="")),"",IF(VLOOKUP(F825,Mannschaften!$A$1:$B$54,2,FALSE)&lt;&gt;E825,"Reiter Mannschaften füllen",""))</f>
        <v/>
      </c>
      <c r="X825" s="248" t="str">
        <f>IF(ISBLANK(C825),"",IF((U825&gt;(LOOKUP(E825,WKNrListe,Übersicht!$O$7:$O$46)))+(U825&lt;(LOOKUP(E825,WKNrListe,Übersicht!$P$7:$P$46))),"JG falsch",""))</f>
        <v/>
      </c>
      <c r="Y825" s="255" t="str">
        <f>IF((A825="")*(B825=""),"",IF(ISERROR(MATCH(E825,WKNrListe,0)),"WK falsch",LOOKUP(E825,WKNrListe,Übersicht!$B$7:$B$46)))</f>
        <v/>
      </c>
      <c r="Z825" s="269" t="str">
        <f>IF(((AJ825=0)*(AH825&lt;&gt;"")*(AK825="-"))+((AJ825&lt;&gt;0)*(AH825&lt;&gt;"")*(AK825="-")),IF(AG825="X",Übersicht!$C$70,Übersicht!$C$69),"-")</f>
        <v>-</v>
      </c>
      <c r="AA825" s="252" t="str">
        <f>IF((($A825="")*($B825=""))+((MID($Y825,1,4)&lt;&gt;"Wahl")*(Deckblatt!$C$14='WK-Vorlagen'!$C$82))+(Deckblatt!$C$14&lt;&gt;'WK-Vorlagen'!$C$82),"",IF(ISERROR(MATCH(VALUE(MID(G825,1,2)),Schwierigkeitsstufen!$G$7:$G$19,0)),"Gerät falsch",LOOKUP(VALUE(MID(G825,1,2)),Schwierigkeitsstufen!$G$7:$G$19,Schwierigkeitsstufen!$H$7:$H$19)))</f>
        <v/>
      </c>
      <c r="AB825" s="250" t="str">
        <f>IF((($A825="")*($B825=""))+((MID($Y825,1,4)&lt;&gt;"Wahl")*(Deckblatt!$C$14='WK-Vorlagen'!$C$82))+(Deckblatt!$C$14&lt;&gt;'WK-Vorlagen'!$C$82),"",IF(ISERROR(MATCH(VALUE(MID(H825,1,2)),Schwierigkeitsstufen!$G$7:$G$19,0)),"Gerät falsch",LOOKUP(VALUE(MID(H825,1,2)),Schwierigkeitsstufen!$G$7:$G$19,Schwierigkeitsstufen!$H$7:$H$19)))</f>
        <v/>
      </c>
      <c r="AC825" s="250" t="str">
        <f>IF((($A825="")*($B825=""))+((MID($Y825,1,4)&lt;&gt;"Wahl")*(Deckblatt!$C$14='WK-Vorlagen'!$C$82))+(Deckblatt!$C$14&lt;&gt;'WK-Vorlagen'!$C$82),"",IF(ISERROR(MATCH(VALUE(MID(I825,1,2)),Schwierigkeitsstufen!$G$7:$G$19,0)),"Gerät falsch",LOOKUP(VALUE(MID(I825,1,2)),Schwierigkeitsstufen!$G$7:$G$19,Schwierigkeitsstufen!$H$7:$H$19)))</f>
        <v/>
      </c>
      <c r="AD825" s="251" t="str">
        <f>IF((($A825="")*($B825=""))+((MID($Y825,1,4)&lt;&gt;"Wahl")*(Deckblatt!$C$14='WK-Vorlagen'!$C$82))+(Deckblatt!$C$14&lt;&gt;'WK-Vorlagen'!$C$82),"",IF(ISERROR(MATCH(VALUE(MID(J825,1,2)),Schwierigkeitsstufen!$G$7:$G$19,0)),"Gerät falsch",LOOKUP(VALUE(MID(J825,1,2)),Schwierigkeitsstufen!$G$7:$G$19,Schwierigkeitsstufen!$H$7:$H$19)))</f>
        <v/>
      </c>
      <c r="AE825" s="211"/>
      <c r="AG825" s="221" t="str">
        <f t="shared" si="108"/>
        <v/>
      </c>
      <c r="AH825" s="222" t="str">
        <f t="shared" si="110"/>
        <v/>
      </c>
      <c r="AI825" s="220">
        <f t="shared" si="115"/>
        <v>4</v>
      </c>
      <c r="AJ825" s="222">
        <f t="shared" si="111"/>
        <v>0</v>
      </c>
      <c r="AK825" s="299" t="str">
        <f>IF(ISERROR(LOOKUP(E825,WKNrListe,Übersicht!$R$7:$R$46)),"-",LOOKUP(E825,WKNrListe,Übersicht!$R$7:$R$46))</f>
        <v>-</v>
      </c>
      <c r="AL825" s="299" t="str">
        <f t="shared" si="114"/>
        <v>-</v>
      </c>
      <c r="AM825" s="303"/>
      <c r="AN825" s="174" t="str">
        <f t="shared" si="116"/>
        <v>Leer</v>
      </c>
    </row>
    <row r="826" spans="1:40" s="174" customFormat="1" ht="15" customHeight="1">
      <c r="A826" s="63"/>
      <c r="B826" s="63"/>
      <c r="C826" s="84"/>
      <c r="D826" s="85"/>
      <c r="E826" s="62"/>
      <c r="F826" s="62"/>
      <c r="G826" s="62"/>
      <c r="H826" s="62"/>
      <c r="I826" s="62"/>
      <c r="J826" s="62"/>
      <c r="K826" s="62"/>
      <c r="L826" s="62"/>
      <c r="M826" s="62"/>
      <c r="N826" s="62"/>
      <c r="O826" s="62"/>
      <c r="P826" s="62"/>
      <c r="Q826" s="62"/>
      <c r="R826" s="62"/>
      <c r="S826" s="258"/>
      <c r="T826" s="248" t="str">
        <f t="shared" si="112"/>
        <v/>
      </c>
      <c r="U826" s="249" t="str">
        <f t="shared" si="113"/>
        <v/>
      </c>
      <c r="V826" s="294" t="str">
        <f t="shared" si="109"/>
        <v/>
      </c>
      <c r="W826" s="294" t="str">
        <f>IF(((E826="")+(F826="")),"",IF(VLOOKUP(F826,Mannschaften!$A$1:$B$54,2,FALSE)&lt;&gt;E826,"Reiter Mannschaften füllen",""))</f>
        <v/>
      </c>
      <c r="X826" s="248" t="str">
        <f>IF(ISBLANK(C826),"",IF((U826&gt;(LOOKUP(E826,WKNrListe,Übersicht!$O$7:$O$46)))+(U826&lt;(LOOKUP(E826,WKNrListe,Übersicht!$P$7:$P$46))),"JG falsch",""))</f>
        <v/>
      </c>
      <c r="Y826" s="255" t="str">
        <f>IF((A826="")*(B826=""),"",IF(ISERROR(MATCH(E826,WKNrListe,0)),"WK falsch",LOOKUP(E826,WKNrListe,Übersicht!$B$7:$B$46)))</f>
        <v/>
      </c>
      <c r="Z826" s="269" t="str">
        <f>IF(((AJ826=0)*(AH826&lt;&gt;"")*(AK826="-"))+((AJ826&lt;&gt;0)*(AH826&lt;&gt;"")*(AK826="-")),IF(AG826="X",Übersicht!$C$70,Übersicht!$C$69),"-")</f>
        <v>-</v>
      </c>
      <c r="AA826" s="252" t="str">
        <f>IF((($A826="")*($B826=""))+((MID($Y826,1,4)&lt;&gt;"Wahl")*(Deckblatt!$C$14='WK-Vorlagen'!$C$82))+(Deckblatt!$C$14&lt;&gt;'WK-Vorlagen'!$C$82),"",IF(ISERROR(MATCH(VALUE(MID(G826,1,2)),Schwierigkeitsstufen!$G$7:$G$19,0)),"Gerät falsch",LOOKUP(VALUE(MID(G826,1,2)),Schwierigkeitsstufen!$G$7:$G$19,Schwierigkeitsstufen!$H$7:$H$19)))</f>
        <v/>
      </c>
      <c r="AB826" s="250" t="str">
        <f>IF((($A826="")*($B826=""))+((MID($Y826,1,4)&lt;&gt;"Wahl")*(Deckblatt!$C$14='WK-Vorlagen'!$C$82))+(Deckblatt!$C$14&lt;&gt;'WK-Vorlagen'!$C$82),"",IF(ISERROR(MATCH(VALUE(MID(H826,1,2)),Schwierigkeitsstufen!$G$7:$G$19,0)),"Gerät falsch",LOOKUP(VALUE(MID(H826,1,2)),Schwierigkeitsstufen!$G$7:$G$19,Schwierigkeitsstufen!$H$7:$H$19)))</f>
        <v/>
      </c>
      <c r="AC826" s="250" t="str">
        <f>IF((($A826="")*($B826=""))+((MID($Y826,1,4)&lt;&gt;"Wahl")*(Deckblatt!$C$14='WK-Vorlagen'!$C$82))+(Deckblatt!$C$14&lt;&gt;'WK-Vorlagen'!$C$82),"",IF(ISERROR(MATCH(VALUE(MID(I826,1,2)),Schwierigkeitsstufen!$G$7:$G$19,0)),"Gerät falsch",LOOKUP(VALUE(MID(I826,1,2)),Schwierigkeitsstufen!$G$7:$G$19,Schwierigkeitsstufen!$H$7:$H$19)))</f>
        <v/>
      </c>
      <c r="AD826" s="251" t="str">
        <f>IF((($A826="")*($B826=""))+((MID($Y826,1,4)&lt;&gt;"Wahl")*(Deckblatt!$C$14='WK-Vorlagen'!$C$82))+(Deckblatt!$C$14&lt;&gt;'WK-Vorlagen'!$C$82),"",IF(ISERROR(MATCH(VALUE(MID(J826,1,2)),Schwierigkeitsstufen!$G$7:$G$19,0)),"Gerät falsch",LOOKUP(VALUE(MID(J826,1,2)),Schwierigkeitsstufen!$G$7:$G$19,Schwierigkeitsstufen!$H$7:$H$19)))</f>
        <v/>
      </c>
      <c r="AE826" s="211"/>
      <c r="AG826" s="221" t="str">
        <f t="shared" si="108"/>
        <v/>
      </c>
      <c r="AH826" s="222" t="str">
        <f t="shared" si="110"/>
        <v/>
      </c>
      <c r="AI826" s="220">
        <f t="shared" si="115"/>
        <v>4</v>
      </c>
      <c r="AJ826" s="222">
        <f t="shared" si="111"/>
        <v>0</v>
      </c>
      <c r="AK826" s="299" t="str">
        <f>IF(ISERROR(LOOKUP(E826,WKNrListe,Übersicht!$R$7:$R$46)),"-",LOOKUP(E826,WKNrListe,Übersicht!$R$7:$R$46))</f>
        <v>-</v>
      </c>
      <c r="AL826" s="299" t="str">
        <f t="shared" si="114"/>
        <v>-</v>
      </c>
      <c r="AM826" s="303"/>
      <c r="AN826" s="174" t="str">
        <f t="shared" si="116"/>
        <v>Leer</v>
      </c>
    </row>
    <row r="827" spans="1:40" s="174" customFormat="1" ht="15" customHeight="1">
      <c r="A827" s="63"/>
      <c r="B827" s="63"/>
      <c r="C827" s="84"/>
      <c r="D827" s="85"/>
      <c r="E827" s="62"/>
      <c r="F827" s="62"/>
      <c r="G827" s="62"/>
      <c r="H827" s="62"/>
      <c r="I827" s="62"/>
      <c r="J827" s="62"/>
      <c r="K827" s="62"/>
      <c r="L827" s="62"/>
      <c r="M827" s="62"/>
      <c r="N827" s="62"/>
      <c r="O827" s="62"/>
      <c r="P827" s="62"/>
      <c r="Q827" s="62"/>
      <c r="R827" s="62"/>
      <c r="S827" s="258"/>
      <c r="T827" s="248" t="str">
        <f t="shared" si="112"/>
        <v/>
      </c>
      <c r="U827" s="249" t="str">
        <f t="shared" si="113"/>
        <v/>
      </c>
      <c r="V827" s="294" t="str">
        <f t="shared" si="109"/>
        <v/>
      </c>
      <c r="W827" s="294" t="str">
        <f>IF(((E827="")+(F827="")),"",IF(VLOOKUP(F827,Mannschaften!$A$1:$B$54,2,FALSE)&lt;&gt;E827,"Reiter Mannschaften füllen",""))</f>
        <v/>
      </c>
      <c r="X827" s="248" t="str">
        <f>IF(ISBLANK(C827),"",IF((U827&gt;(LOOKUP(E827,WKNrListe,Übersicht!$O$7:$O$46)))+(U827&lt;(LOOKUP(E827,WKNrListe,Übersicht!$P$7:$P$46))),"JG falsch",""))</f>
        <v/>
      </c>
      <c r="Y827" s="255" t="str">
        <f>IF((A827="")*(B827=""),"",IF(ISERROR(MATCH(E827,WKNrListe,0)),"WK falsch",LOOKUP(E827,WKNrListe,Übersicht!$B$7:$B$46)))</f>
        <v/>
      </c>
      <c r="Z827" s="269" t="str">
        <f>IF(((AJ827=0)*(AH827&lt;&gt;"")*(AK827="-"))+((AJ827&lt;&gt;0)*(AH827&lt;&gt;"")*(AK827="-")),IF(AG827="X",Übersicht!$C$70,Übersicht!$C$69),"-")</f>
        <v>-</v>
      </c>
      <c r="AA827" s="252" t="str">
        <f>IF((($A827="")*($B827=""))+((MID($Y827,1,4)&lt;&gt;"Wahl")*(Deckblatt!$C$14='WK-Vorlagen'!$C$82))+(Deckblatt!$C$14&lt;&gt;'WK-Vorlagen'!$C$82),"",IF(ISERROR(MATCH(VALUE(MID(G827,1,2)),Schwierigkeitsstufen!$G$7:$G$19,0)),"Gerät falsch",LOOKUP(VALUE(MID(G827,1,2)),Schwierigkeitsstufen!$G$7:$G$19,Schwierigkeitsstufen!$H$7:$H$19)))</f>
        <v/>
      </c>
      <c r="AB827" s="250" t="str">
        <f>IF((($A827="")*($B827=""))+((MID($Y827,1,4)&lt;&gt;"Wahl")*(Deckblatt!$C$14='WK-Vorlagen'!$C$82))+(Deckblatt!$C$14&lt;&gt;'WK-Vorlagen'!$C$82),"",IF(ISERROR(MATCH(VALUE(MID(H827,1,2)),Schwierigkeitsstufen!$G$7:$G$19,0)),"Gerät falsch",LOOKUP(VALUE(MID(H827,1,2)),Schwierigkeitsstufen!$G$7:$G$19,Schwierigkeitsstufen!$H$7:$H$19)))</f>
        <v/>
      </c>
      <c r="AC827" s="250" t="str">
        <f>IF((($A827="")*($B827=""))+((MID($Y827,1,4)&lt;&gt;"Wahl")*(Deckblatt!$C$14='WK-Vorlagen'!$C$82))+(Deckblatt!$C$14&lt;&gt;'WK-Vorlagen'!$C$82),"",IF(ISERROR(MATCH(VALUE(MID(I827,1,2)),Schwierigkeitsstufen!$G$7:$G$19,0)),"Gerät falsch",LOOKUP(VALUE(MID(I827,1,2)),Schwierigkeitsstufen!$G$7:$G$19,Schwierigkeitsstufen!$H$7:$H$19)))</f>
        <v/>
      </c>
      <c r="AD827" s="251" t="str">
        <f>IF((($A827="")*($B827=""))+((MID($Y827,1,4)&lt;&gt;"Wahl")*(Deckblatt!$C$14='WK-Vorlagen'!$C$82))+(Deckblatt!$C$14&lt;&gt;'WK-Vorlagen'!$C$82),"",IF(ISERROR(MATCH(VALUE(MID(J827,1,2)),Schwierigkeitsstufen!$G$7:$G$19,0)),"Gerät falsch",LOOKUP(VALUE(MID(J827,1,2)),Schwierigkeitsstufen!$G$7:$G$19,Schwierigkeitsstufen!$H$7:$H$19)))</f>
        <v/>
      </c>
      <c r="AE827" s="211"/>
      <c r="AG827" s="221" t="str">
        <f t="shared" si="108"/>
        <v/>
      </c>
      <c r="AH827" s="222" t="str">
        <f t="shared" si="110"/>
        <v/>
      </c>
      <c r="AI827" s="220">
        <f t="shared" si="115"/>
        <v>4</v>
      </c>
      <c r="AJ827" s="222">
        <f t="shared" si="111"/>
        <v>0</v>
      </c>
      <c r="AK827" s="299" t="str">
        <f>IF(ISERROR(LOOKUP(E827,WKNrListe,Übersicht!$R$7:$R$46)),"-",LOOKUP(E827,WKNrListe,Übersicht!$R$7:$R$46))</f>
        <v>-</v>
      </c>
      <c r="AL827" s="299" t="str">
        <f t="shared" si="114"/>
        <v>-</v>
      </c>
      <c r="AM827" s="303"/>
      <c r="AN827" s="174" t="str">
        <f t="shared" si="116"/>
        <v>Leer</v>
      </c>
    </row>
    <row r="828" spans="1:40" s="174" customFormat="1" ht="15" customHeight="1">
      <c r="A828" s="63"/>
      <c r="B828" s="63"/>
      <c r="C828" s="84"/>
      <c r="D828" s="85"/>
      <c r="E828" s="62"/>
      <c r="F828" s="62"/>
      <c r="G828" s="62"/>
      <c r="H828" s="62"/>
      <c r="I828" s="62"/>
      <c r="J828" s="62"/>
      <c r="K828" s="62"/>
      <c r="L828" s="62"/>
      <c r="M828" s="62"/>
      <c r="N828" s="62"/>
      <c r="O828" s="62"/>
      <c r="P828" s="62"/>
      <c r="Q828" s="62"/>
      <c r="R828" s="62"/>
      <c r="S828" s="258"/>
      <c r="T828" s="248" t="str">
        <f t="shared" si="112"/>
        <v/>
      </c>
      <c r="U828" s="249" t="str">
        <f t="shared" si="113"/>
        <v/>
      </c>
      <c r="V828" s="294" t="str">
        <f t="shared" si="109"/>
        <v/>
      </c>
      <c r="W828" s="294" t="str">
        <f>IF(((E828="")+(F828="")),"",IF(VLOOKUP(F828,Mannschaften!$A$1:$B$54,2,FALSE)&lt;&gt;E828,"Reiter Mannschaften füllen",""))</f>
        <v/>
      </c>
      <c r="X828" s="248" t="str">
        <f>IF(ISBLANK(C828),"",IF((U828&gt;(LOOKUP(E828,WKNrListe,Übersicht!$O$7:$O$46)))+(U828&lt;(LOOKUP(E828,WKNrListe,Übersicht!$P$7:$P$46))),"JG falsch",""))</f>
        <v/>
      </c>
      <c r="Y828" s="255" t="str">
        <f>IF((A828="")*(B828=""),"",IF(ISERROR(MATCH(E828,WKNrListe,0)),"WK falsch",LOOKUP(E828,WKNrListe,Übersicht!$B$7:$B$46)))</f>
        <v/>
      </c>
      <c r="Z828" s="269" t="str">
        <f>IF(((AJ828=0)*(AH828&lt;&gt;"")*(AK828="-"))+((AJ828&lt;&gt;0)*(AH828&lt;&gt;"")*(AK828="-")),IF(AG828="X",Übersicht!$C$70,Übersicht!$C$69),"-")</f>
        <v>-</v>
      </c>
      <c r="AA828" s="252" t="str">
        <f>IF((($A828="")*($B828=""))+((MID($Y828,1,4)&lt;&gt;"Wahl")*(Deckblatt!$C$14='WK-Vorlagen'!$C$82))+(Deckblatt!$C$14&lt;&gt;'WK-Vorlagen'!$C$82),"",IF(ISERROR(MATCH(VALUE(MID(G828,1,2)),Schwierigkeitsstufen!$G$7:$G$19,0)),"Gerät falsch",LOOKUP(VALUE(MID(G828,1,2)),Schwierigkeitsstufen!$G$7:$G$19,Schwierigkeitsstufen!$H$7:$H$19)))</f>
        <v/>
      </c>
      <c r="AB828" s="250" t="str">
        <f>IF((($A828="")*($B828=""))+((MID($Y828,1,4)&lt;&gt;"Wahl")*(Deckblatt!$C$14='WK-Vorlagen'!$C$82))+(Deckblatt!$C$14&lt;&gt;'WK-Vorlagen'!$C$82),"",IF(ISERROR(MATCH(VALUE(MID(H828,1,2)),Schwierigkeitsstufen!$G$7:$G$19,0)),"Gerät falsch",LOOKUP(VALUE(MID(H828,1,2)),Schwierigkeitsstufen!$G$7:$G$19,Schwierigkeitsstufen!$H$7:$H$19)))</f>
        <v/>
      </c>
      <c r="AC828" s="250" t="str">
        <f>IF((($A828="")*($B828=""))+((MID($Y828,1,4)&lt;&gt;"Wahl")*(Deckblatt!$C$14='WK-Vorlagen'!$C$82))+(Deckblatt!$C$14&lt;&gt;'WK-Vorlagen'!$C$82),"",IF(ISERROR(MATCH(VALUE(MID(I828,1,2)),Schwierigkeitsstufen!$G$7:$G$19,0)),"Gerät falsch",LOOKUP(VALUE(MID(I828,1,2)),Schwierigkeitsstufen!$G$7:$G$19,Schwierigkeitsstufen!$H$7:$H$19)))</f>
        <v/>
      </c>
      <c r="AD828" s="251" t="str">
        <f>IF((($A828="")*($B828=""))+((MID($Y828,1,4)&lt;&gt;"Wahl")*(Deckblatt!$C$14='WK-Vorlagen'!$C$82))+(Deckblatt!$C$14&lt;&gt;'WK-Vorlagen'!$C$82),"",IF(ISERROR(MATCH(VALUE(MID(J828,1,2)),Schwierigkeitsstufen!$G$7:$G$19,0)),"Gerät falsch",LOOKUP(VALUE(MID(J828,1,2)),Schwierigkeitsstufen!$G$7:$G$19,Schwierigkeitsstufen!$H$7:$H$19)))</f>
        <v/>
      </c>
      <c r="AE828" s="211"/>
      <c r="AG828" s="221" t="str">
        <f t="shared" si="108"/>
        <v/>
      </c>
      <c r="AH828" s="222" t="str">
        <f t="shared" si="110"/>
        <v/>
      </c>
      <c r="AI828" s="220">
        <f t="shared" si="115"/>
        <v>4</v>
      </c>
      <c r="AJ828" s="222">
        <f t="shared" si="111"/>
        <v>0</v>
      </c>
      <c r="AK828" s="299" t="str">
        <f>IF(ISERROR(LOOKUP(E828,WKNrListe,Übersicht!$R$7:$R$46)),"-",LOOKUP(E828,WKNrListe,Übersicht!$R$7:$R$46))</f>
        <v>-</v>
      </c>
      <c r="AL828" s="299" t="str">
        <f t="shared" si="114"/>
        <v>-</v>
      </c>
      <c r="AM828" s="303"/>
      <c r="AN828" s="174" t="str">
        <f t="shared" si="116"/>
        <v>Leer</v>
      </c>
    </row>
    <row r="829" spans="1:40" s="174" customFormat="1" ht="15" customHeight="1">
      <c r="A829" s="63"/>
      <c r="B829" s="63"/>
      <c r="C829" s="84"/>
      <c r="D829" s="85"/>
      <c r="E829" s="62"/>
      <c r="F829" s="62"/>
      <c r="G829" s="62"/>
      <c r="H829" s="62"/>
      <c r="I829" s="62"/>
      <c r="J829" s="62"/>
      <c r="K829" s="62"/>
      <c r="L829" s="62"/>
      <c r="M829" s="62"/>
      <c r="N829" s="62"/>
      <c r="O829" s="62"/>
      <c r="P829" s="62"/>
      <c r="Q829" s="62"/>
      <c r="R829" s="62"/>
      <c r="S829" s="258"/>
      <c r="T829" s="248" t="str">
        <f t="shared" si="112"/>
        <v/>
      </c>
      <c r="U829" s="249" t="str">
        <f t="shared" si="113"/>
        <v/>
      </c>
      <c r="V829" s="294" t="str">
        <f t="shared" si="109"/>
        <v/>
      </c>
      <c r="W829" s="294" t="str">
        <f>IF(((E829="")+(F829="")),"",IF(VLOOKUP(F829,Mannschaften!$A$1:$B$54,2,FALSE)&lt;&gt;E829,"Reiter Mannschaften füllen",""))</f>
        <v/>
      </c>
      <c r="X829" s="248" t="str">
        <f>IF(ISBLANK(C829),"",IF((U829&gt;(LOOKUP(E829,WKNrListe,Übersicht!$O$7:$O$46)))+(U829&lt;(LOOKUP(E829,WKNrListe,Übersicht!$P$7:$P$46))),"JG falsch",""))</f>
        <v/>
      </c>
      <c r="Y829" s="255" t="str">
        <f>IF((A829="")*(B829=""),"",IF(ISERROR(MATCH(E829,WKNrListe,0)),"WK falsch",LOOKUP(E829,WKNrListe,Übersicht!$B$7:$B$46)))</f>
        <v/>
      </c>
      <c r="Z829" s="269" t="str">
        <f>IF(((AJ829=0)*(AH829&lt;&gt;"")*(AK829="-"))+((AJ829&lt;&gt;0)*(AH829&lt;&gt;"")*(AK829="-")),IF(AG829="X",Übersicht!$C$70,Übersicht!$C$69),"-")</f>
        <v>-</v>
      </c>
      <c r="AA829" s="252" t="str">
        <f>IF((($A829="")*($B829=""))+((MID($Y829,1,4)&lt;&gt;"Wahl")*(Deckblatt!$C$14='WK-Vorlagen'!$C$82))+(Deckblatt!$C$14&lt;&gt;'WK-Vorlagen'!$C$82),"",IF(ISERROR(MATCH(VALUE(MID(G829,1,2)),Schwierigkeitsstufen!$G$7:$G$19,0)),"Gerät falsch",LOOKUP(VALUE(MID(G829,1,2)),Schwierigkeitsstufen!$G$7:$G$19,Schwierigkeitsstufen!$H$7:$H$19)))</f>
        <v/>
      </c>
      <c r="AB829" s="250" t="str">
        <f>IF((($A829="")*($B829=""))+((MID($Y829,1,4)&lt;&gt;"Wahl")*(Deckblatt!$C$14='WK-Vorlagen'!$C$82))+(Deckblatt!$C$14&lt;&gt;'WK-Vorlagen'!$C$82),"",IF(ISERROR(MATCH(VALUE(MID(H829,1,2)),Schwierigkeitsstufen!$G$7:$G$19,0)),"Gerät falsch",LOOKUP(VALUE(MID(H829,1,2)),Schwierigkeitsstufen!$G$7:$G$19,Schwierigkeitsstufen!$H$7:$H$19)))</f>
        <v/>
      </c>
      <c r="AC829" s="250" t="str">
        <f>IF((($A829="")*($B829=""))+((MID($Y829,1,4)&lt;&gt;"Wahl")*(Deckblatt!$C$14='WK-Vorlagen'!$C$82))+(Deckblatt!$C$14&lt;&gt;'WK-Vorlagen'!$C$82),"",IF(ISERROR(MATCH(VALUE(MID(I829,1,2)),Schwierigkeitsstufen!$G$7:$G$19,0)),"Gerät falsch",LOOKUP(VALUE(MID(I829,1,2)),Schwierigkeitsstufen!$G$7:$G$19,Schwierigkeitsstufen!$H$7:$H$19)))</f>
        <v/>
      </c>
      <c r="AD829" s="251" t="str">
        <f>IF((($A829="")*($B829=""))+((MID($Y829,1,4)&lt;&gt;"Wahl")*(Deckblatt!$C$14='WK-Vorlagen'!$C$82))+(Deckblatt!$C$14&lt;&gt;'WK-Vorlagen'!$C$82),"",IF(ISERROR(MATCH(VALUE(MID(J829,1,2)),Schwierigkeitsstufen!$G$7:$G$19,0)),"Gerät falsch",LOOKUP(VALUE(MID(J829,1,2)),Schwierigkeitsstufen!$G$7:$G$19,Schwierigkeitsstufen!$H$7:$H$19)))</f>
        <v/>
      </c>
      <c r="AE829" s="211"/>
      <c r="AG829" s="221" t="str">
        <f t="shared" si="108"/>
        <v/>
      </c>
      <c r="AH829" s="222" t="str">
        <f t="shared" si="110"/>
        <v/>
      </c>
      <c r="AI829" s="220">
        <f t="shared" si="115"/>
        <v>4</v>
      </c>
      <c r="AJ829" s="222">
        <f t="shared" si="111"/>
        <v>0</v>
      </c>
      <c r="AK829" s="299" t="str">
        <f>IF(ISERROR(LOOKUP(E829,WKNrListe,Übersicht!$R$7:$R$46)),"-",LOOKUP(E829,WKNrListe,Übersicht!$R$7:$R$46))</f>
        <v>-</v>
      </c>
      <c r="AL829" s="299" t="str">
        <f t="shared" si="114"/>
        <v>-</v>
      </c>
      <c r="AM829" s="303"/>
      <c r="AN829" s="174" t="str">
        <f t="shared" si="116"/>
        <v>Leer</v>
      </c>
    </row>
    <row r="830" spans="1:40" s="174" customFormat="1" ht="15" customHeight="1">
      <c r="A830" s="63"/>
      <c r="B830" s="63"/>
      <c r="C830" s="84"/>
      <c r="D830" s="85"/>
      <c r="E830" s="62"/>
      <c r="F830" s="62"/>
      <c r="G830" s="62"/>
      <c r="H830" s="62"/>
      <c r="I830" s="62"/>
      <c r="J830" s="62"/>
      <c r="K830" s="62"/>
      <c r="L830" s="62"/>
      <c r="M830" s="62"/>
      <c r="N830" s="62"/>
      <c r="O830" s="62"/>
      <c r="P830" s="62"/>
      <c r="Q830" s="62"/>
      <c r="R830" s="62"/>
      <c r="S830" s="258"/>
      <c r="T830" s="248" t="str">
        <f t="shared" si="112"/>
        <v/>
      </c>
      <c r="U830" s="249" t="str">
        <f t="shared" si="113"/>
        <v/>
      </c>
      <c r="V830" s="294" t="str">
        <f t="shared" si="109"/>
        <v/>
      </c>
      <c r="W830" s="294" t="str">
        <f>IF(((E830="")+(F830="")),"",IF(VLOOKUP(F830,Mannschaften!$A$1:$B$54,2,FALSE)&lt;&gt;E830,"Reiter Mannschaften füllen",""))</f>
        <v/>
      </c>
      <c r="X830" s="248" t="str">
        <f>IF(ISBLANK(C830),"",IF((U830&gt;(LOOKUP(E830,WKNrListe,Übersicht!$O$7:$O$46)))+(U830&lt;(LOOKUP(E830,WKNrListe,Übersicht!$P$7:$P$46))),"JG falsch",""))</f>
        <v/>
      </c>
      <c r="Y830" s="255" t="str">
        <f>IF((A830="")*(B830=""),"",IF(ISERROR(MATCH(E830,WKNrListe,0)),"WK falsch",LOOKUP(E830,WKNrListe,Übersicht!$B$7:$B$46)))</f>
        <v/>
      </c>
      <c r="Z830" s="269" t="str">
        <f>IF(((AJ830=0)*(AH830&lt;&gt;"")*(AK830="-"))+((AJ830&lt;&gt;0)*(AH830&lt;&gt;"")*(AK830="-")),IF(AG830="X",Übersicht!$C$70,Übersicht!$C$69),"-")</f>
        <v>-</v>
      </c>
      <c r="AA830" s="252" t="str">
        <f>IF((($A830="")*($B830=""))+((MID($Y830,1,4)&lt;&gt;"Wahl")*(Deckblatt!$C$14='WK-Vorlagen'!$C$82))+(Deckblatt!$C$14&lt;&gt;'WK-Vorlagen'!$C$82),"",IF(ISERROR(MATCH(VALUE(MID(G830,1,2)),Schwierigkeitsstufen!$G$7:$G$19,0)),"Gerät falsch",LOOKUP(VALUE(MID(G830,1,2)),Schwierigkeitsstufen!$G$7:$G$19,Schwierigkeitsstufen!$H$7:$H$19)))</f>
        <v/>
      </c>
      <c r="AB830" s="250" t="str">
        <f>IF((($A830="")*($B830=""))+((MID($Y830,1,4)&lt;&gt;"Wahl")*(Deckblatt!$C$14='WK-Vorlagen'!$C$82))+(Deckblatt!$C$14&lt;&gt;'WK-Vorlagen'!$C$82),"",IF(ISERROR(MATCH(VALUE(MID(H830,1,2)),Schwierigkeitsstufen!$G$7:$G$19,0)),"Gerät falsch",LOOKUP(VALUE(MID(H830,1,2)),Schwierigkeitsstufen!$G$7:$G$19,Schwierigkeitsstufen!$H$7:$H$19)))</f>
        <v/>
      </c>
      <c r="AC830" s="250" t="str">
        <f>IF((($A830="")*($B830=""))+((MID($Y830,1,4)&lt;&gt;"Wahl")*(Deckblatt!$C$14='WK-Vorlagen'!$C$82))+(Deckblatt!$C$14&lt;&gt;'WK-Vorlagen'!$C$82),"",IF(ISERROR(MATCH(VALUE(MID(I830,1,2)),Schwierigkeitsstufen!$G$7:$G$19,0)),"Gerät falsch",LOOKUP(VALUE(MID(I830,1,2)),Schwierigkeitsstufen!$G$7:$G$19,Schwierigkeitsstufen!$H$7:$H$19)))</f>
        <v/>
      </c>
      <c r="AD830" s="251" t="str">
        <f>IF((($A830="")*($B830=""))+((MID($Y830,1,4)&lt;&gt;"Wahl")*(Deckblatt!$C$14='WK-Vorlagen'!$C$82))+(Deckblatt!$C$14&lt;&gt;'WK-Vorlagen'!$C$82),"",IF(ISERROR(MATCH(VALUE(MID(J830,1,2)),Schwierigkeitsstufen!$G$7:$G$19,0)),"Gerät falsch",LOOKUP(VALUE(MID(J830,1,2)),Schwierigkeitsstufen!$G$7:$G$19,Schwierigkeitsstufen!$H$7:$H$19)))</f>
        <v/>
      </c>
      <c r="AE830" s="211"/>
      <c r="AG830" s="221" t="str">
        <f t="shared" si="108"/>
        <v/>
      </c>
      <c r="AH830" s="222" t="str">
        <f t="shared" si="110"/>
        <v/>
      </c>
      <c r="AI830" s="220">
        <f t="shared" si="115"/>
        <v>4</v>
      </c>
      <c r="AJ830" s="222">
        <f t="shared" si="111"/>
        <v>0</v>
      </c>
      <c r="AK830" s="299" t="str">
        <f>IF(ISERROR(LOOKUP(E830,WKNrListe,Übersicht!$R$7:$R$46)),"-",LOOKUP(E830,WKNrListe,Übersicht!$R$7:$R$46))</f>
        <v>-</v>
      </c>
      <c r="AL830" s="299" t="str">
        <f t="shared" si="114"/>
        <v>-</v>
      </c>
      <c r="AM830" s="303"/>
      <c r="AN830" s="174" t="str">
        <f t="shared" si="116"/>
        <v>Leer</v>
      </c>
    </row>
    <row r="831" spans="1:40" s="174" customFormat="1" ht="15" customHeight="1">
      <c r="A831" s="63"/>
      <c r="B831" s="63"/>
      <c r="C831" s="84"/>
      <c r="D831" s="85"/>
      <c r="E831" s="62"/>
      <c r="F831" s="62"/>
      <c r="G831" s="62"/>
      <c r="H831" s="62"/>
      <c r="I831" s="62"/>
      <c r="J831" s="62"/>
      <c r="K831" s="62"/>
      <c r="L831" s="62"/>
      <c r="M831" s="62"/>
      <c r="N831" s="62"/>
      <c r="O831" s="62"/>
      <c r="P831" s="62"/>
      <c r="Q831" s="62"/>
      <c r="R831" s="62"/>
      <c r="S831" s="258"/>
      <c r="T831" s="248" t="str">
        <f t="shared" si="112"/>
        <v/>
      </c>
      <c r="U831" s="249" t="str">
        <f t="shared" si="113"/>
        <v/>
      </c>
      <c r="V831" s="294" t="str">
        <f t="shared" si="109"/>
        <v/>
      </c>
      <c r="W831" s="294" t="str">
        <f>IF(((E831="")+(F831="")),"",IF(VLOOKUP(F831,Mannschaften!$A$1:$B$54,2,FALSE)&lt;&gt;E831,"Reiter Mannschaften füllen",""))</f>
        <v/>
      </c>
      <c r="X831" s="248" t="str">
        <f>IF(ISBLANK(C831),"",IF((U831&gt;(LOOKUP(E831,WKNrListe,Übersicht!$O$7:$O$46)))+(U831&lt;(LOOKUP(E831,WKNrListe,Übersicht!$P$7:$P$46))),"JG falsch",""))</f>
        <v/>
      </c>
      <c r="Y831" s="255" t="str">
        <f>IF((A831="")*(B831=""),"",IF(ISERROR(MATCH(E831,WKNrListe,0)),"WK falsch",LOOKUP(E831,WKNrListe,Übersicht!$B$7:$B$46)))</f>
        <v/>
      </c>
      <c r="Z831" s="269" t="str">
        <f>IF(((AJ831=0)*(AH831&lt;&gt;"")*(AK831="-"))+((AJ831&lt;&gt;0)*(AH831&lt;&gt;"")*(AK831="-")),IF(AG831="X",Übersicht!$C$70,Übersicht!$C$69),"-")</f>
        <v>-</v>
      </c>
      <c r="AA831" s="252" t="str">
        <f>IF((($A831="")*($B831=""))+((MID($Y831,1,4)&lt;&gt;"Wahl")*(Deckblatt!$C$14='WK-Vorlagen'!$C$82))+(Deckblatt!$C$14&lt;&gt;'WK-Vorlagen'!$C$82),"",IF(ISERROR(MATCH(VALUE(MID(G831,1,2)),Schwierigkeitsstufen!$G$7:$G$19,0)),"Gerät falsch",LOOKUP(VALUE(MID(G831,1,2)),Schwierigkeitsstufen!$G$7:$G$19,Schwierigkeitsstufen!$H$7:$H$19)))</f>
        <v/>
      </c>
      <c r="AB831" s="250" t="str">
        <f>IF((($A831="")*($B831=""))+((MID($Y831,1,4)&lt;&gt;"Wahl")*(Deckblatt!$C$14='WK-Vorlagen'!$C$82))+(Deckblatt!$C$14&lt;&gt;'WK-Vorlagen'!$C$82),"",IF(ISERROR(MATCH(VALUE(MID(H831,1,2)),Schwierigkeitsstufen!$G$7:$G$19,0)),"Gerät falsch",LOOKUP(VALUE(MID(H831,1,2)),Schwierigkeitsstufen!$G$7:$G$19,Schwierigkeitsstufen!$H$7:$H$19)))</f>
        <v/>
      </c>
      <c r="AC831" s="250" t="str">
        <f>IF((($A831="")*($B831=""))+((MID($Y831,1,4)&lt;&gt;"Wahl")*(Deckblatt!$C$14='WK-Vorlagen'!$C$82))+(Deckblatt!$C$14&lt;&gt;'WK-Vorlagen'!$C$82),"",IF(ISERROR(MATCH(VALUE(MID(I831,1,2)),Schwierigkeitsstufen!$G$7:$G$19,0)),"Gerät falsch",LOOKUP(VALUE(MID(I831,1,2)),Schwierigkeitsstufen!$G$7:$G$19,Schwierigkeitsstufen!$H$7:$H$19)))</f>
        <v/>
      </c>
      <c r="AD831" s="251" t="str">
        <f>IF((($A831="")*($B831=""))+((MID($Y831,1,4)&lt;&gt;"Wahl")*(Deckblatt!$C$14='WK-Vorlagen'!$C$82))+(Deckblatt!$C$14&lt;&gt;'WK-Vorlagen'!$C$82),"",IF(ISERROR(MATCH(VALUE(MID(J831,1,2)),Schwierigkeitsstufen!$G$7:$G$19,0)),"Gerät falsch",LOOKUP(VALUE(MID(J831,1,2)),Schwierigkeitsstufen!$G$7:$G$19,Schwierigkeitsstufen!$H$7:$H$19)))</f>
        <v/>
      </c>
      <c r="AE831" s="211"/>
      <c r="AG831" s="221" t="str">
        <f t="shared" si="108"/>
        <v/>
      </c>
      <c r="AH831" s="222" t="str">
        <f t="shared" si="110"/>
        <v/>
      </c>
      <c r="AI831" s="220">
        <f t="shared" si="115"/>
        <v>4</v>
      </c>
      <c r="AJ831" s="222">
        <f t="shared" si="111"/>
        <v>0</v>
      </c>
      <c r="AK831" s="299" t="str">
        <f>IF(ISERROR(LOOKUP(E831,WKNrListe,Übersicht!$R$7:$R$46)),"-",LOOKUP(E831,WKNrListe,Übersicht!$R$7:$R$46))</f>
        <v>-</v>
      </c>
      <c r="AL831" s="299" t="str">
        <f t="shared" si="114"/>
        <v>-</v>
      </c>
      <c r="AM831" s="303"/>
      <c r="AN831" s="174" t="str">
        <f t="shared" si="116"/>
        <v>Leer</v>
      </c>
    </row>
    <row r="832" spans="1:40" s="174" customFormat="1" ht="15" customHeight="1">
      <c r="A832" s="63"/>
      <c r="B832" s="63"/>
      <c r="C832" s="84"/>
      <c r="D832" s="85"/>
      <c r="E832" s="62"/>
      <c r="F832" s="62"/>
      <c r="G832" s="62"/>
      <c r="H832" s="62"/>
      <c r="I832" s="62"/>
      <c r="J832" s="62"/>
      <c r="K832" s="62"/>
      <c r="L832" s="62"/>
      <c r="M832" s="62"/>
      <c r="N832" s="62"/>
      <c r="O832" s="62"/>
      <c r="P832" s="62"/>
      <c r="Q832" s="62"/>
      <c r="R832" s="62"/>
      <c r="S832" s="258"/>
      <c r="T832" s="248" t="str">
        <f t="shared" si="112"/>
        <v/>
      </c>
      <c r="U832" s="249" t="str">
        <f t="shared" si="113"/>
        <v/>
      </c>
      <c r="V832" s="294" t="str">
        <f t="shared" si="109"/>
        <v/>
      </c>
      <c r="W832" s="294" t="str">
        <f>IF(((E832="")+(F832="")),"",IF(VLOOKUP(F832,Mannschaften!$A$1:$B$54,2,FALSE)&lt;&gt;E832,"Reiter Mannschaften füllen",""))</f>
        <v/>
      </c>
      <c r="X832" s="248" t="str">
        <f>IF(ISBLANK(C832),"",IF((U832&gt;(LOOKUP(E832,WKNrListe,Übersicht!$O$7:$O$46)))+(U832&lt;(LOOKUP(E832,WKNrListe,Übersicht!$P$7:$P$46))),"JG falsch",""))</f>
        <v/>
      </c>
      <c r="Y832" s="255" t="str">
        <f>IF((A832="")*(B832=""),"",IF(ISERROR(MATCH(E832,WKNrListe,0)),"WK falsch",LOOKUP(E832,WKNrListe,Übersicht!$B$7:$B$46)))</f>
        <v/>
      </c>
      <c r="Z832" s="269" t="str">
        <f>IF(((AJ832=0)*(AH832&lt;&gt;"")*(AK832="-"))+((AJ832&lt;&gt;0)*(AH832&lt;&gt;"")*(AK832="-")),IF(AG832="X",Übersicht!$C$70,Übersicht!$C$69),"-")</f>
        <v>-</v>
      </c>
      <c r="AA832" s="252" t="str">
        <f>IF((($A832="")*($B832=""))+((MID($Y832,1,4)&lt;&gt;"Wahl")*(Deckblatt!$C$14='WK-Vorlagen'!$C$82))+(Deckblatt!$C$14&lt;&gt;'WK-Vorlagen'!$C$82),"",IF(ISERROR(MATCH(VALUE(MID(G832,1,2)),Schwierigkeitsstufen!$G$7:$G$19,0)),"Gerät falsch",LOOKUP(VALUE(MID(G832,1,2)),Schwierigkeitsstufen!$G$7:$G$19,Schwierigkeitsstufen!$H$7:$H$19)))</f>
        <v/>
      </c>
      <c r="AB832" s="250" t="str">
        <f>IF((($A832="")*($B832=""))+((MID($Y832,1,4)&lt;&gt;"Wahl")*(Deckblatt!$C$14='WK-Vorlagen'!$C$82))+(Deckblatt!$C$14&lt;&gt;'WK-Vorlagen'!$C$82),"",IF(ISERROR(MATCH(VALUE(MID(H832,1,2)),Schwierigkeitsstufen!$G$7:$G$19,0)),"Gerät falsch",LOOKUP(VALUE(MID(H832,1,2)),Schwierigkeitsstufen!$G$7:$G$19,Schwierigkeitsstufen!$H$7:$H$19)))</f>
        <v/>
      </c>
      <c r="AC832" s="250" t="str">
        <f>IF((($A832="")*($B832=""))+((MID($Y832,1,4)&lt;&gt;"Wahl")*(Deckblatt!$C$14='WK-Vorlagen'!$C$82))+(Deckblatt!$C$14&lt;&gt;'WK-Vorlagen'!$C$82),"",IF(ISERROR(MATCH(VALUE(MID(I832,1,2)),Schwierigkeitsstufen!$G$7:$G$19,0)),"Gerät falsch",LOOKUP(VALUE(MID(I832,1,2)),Schwierigkeitsstufen!$G$7:$G$19,Schwierigkeitsstufen!$H$7:$H$19)))</f>
        <v/>
      </c>
      <c r="AD832" s="251" t="str">
        <f>IF((($A832="")*($B832=""))+((MID($Y832,1,4)&lt;&gt;"Wahl")*(Deckblatt!$C$14='WK-Vorlagen'!$C$82))+(Deckblatt!$C$14&lt;&gt;'WK-Vorlagen'!$C$82),"",IF(ISERROR(MATCH(VALUE(MID(J832,1,2)),Schwierigkeitsstufen!$G$7:$G$19,0)),"Gerät falsch",LOOKUP(VALUE(MID(J832,1,2)),Schwierigkeitsstufen!$G$7:$G$19,Schwierigkeitsstufen!$H$7:$H$19)))</f>
        <v/>
      </c>
      <c r="AE832" s="211"/>
      <c r="AG832" s="221" t="str">
        <f t="shared" si="108"/>
        <v/>
      </c>
      <c r="AH832" s="222" t="str">
        <f t="shared" si="110"/>
        <v/>
      </c>
      <c r="AI832" s="220">
        <f t="shared" si="115"/>
        <v>4</v>
      </c>
      <c r="AJ832" s="222">
        <f t="shared" si="111"/>
        <v>0</v>
      </c>
      <c r="AK832" s="299" t="str">
        <f>IF(ISERROR(LOOKUP(E832,WKNrListe,Übersicht!$R$7:$R$46)),"-",LOOKUP(E832,WKNrListe,Übersicht!$R$7:$R$46))</f>
        <v>-</v>
      </c>
      <c r="AL832" s="299" t="str">
        <f t="shared" si="114"/>
        <v>-</v>
      </c>
      <c r="AM832" s="303"/>
      <c r="AN832" s="174" t="str">
        <f t="shared" si="116"/>
        <v>Leer</v>
      </c>
    </row>
    <row r="833" spans="1:40" s="174" customFormat="1" ht="15" customHeight="1">
      <c r="A833" s="63"/>
      <c r="B833" s="63"/>
      <c r="C833" s="84"/>
      <c r="D833" s="85"/>
      <c r="E833" s="62"/>
      <c r="F833" s="62"/>
      <c r="G833" s="62"/>
      <c r="H833" s="62"/>
      <c r="I833" s="62"/>
      <c r="J833" s="62"/>
      <c r="K833" s="62"/>
      <c r="L833" s="62"/>
      <c r="M833" s="62"/>
      <c r="N833" s="62"/>
      <c r="O833" s="62"/>
      <c r="P833" s="62"/>
      <c r="Q833" s="62"/>
      <c r="R833" s="62"/>
      <c r="S833" s="258"/>
      <c r="T833" s="248" t="str">
        <f t="shared" si="112"/>
        <v/>
      </c>
      <c r="U833" s="249" t="str">
        <f t="shared" si="113"/>
        <v/>
      </c>
      <c r="V833" s="294" t="str">
        <f t="shared" si="109"/>
        <v/>
      </c>
      <c r="W833" s="294" t="str">
        <f>IF(((E833="")+(F833="")),"",IF(VLOOKUP(F833,Mannschaften!$A$1:$B$54,2,FALSE)&lt;&gt;E833,"Reiter Mannschaften füllen",""))</f>
        <v/>
      </c>
      <c r="X833" s="248" t="str">
        <f>IF(ISBLANK(C833),"",IF((U833&gt;(LOOKUP(E833,WKNrListe,Übersicht!$O$7:$O$46)))+(U833&lt;(LOOKUP(E833,WKNrListe,Übersicht!$P$7:$P$46))),"JG falsch",""))</f>
        <v/>
      </c>
      <c r="Y833" s="255" t="str">
        <f>IF((A833="")*(B833=""),"",IF(ISERROR(MATCH(E833,WKNrListe,0)),"WK falsch",LOOKUP(E833,WKNrListe,Übersicht!$B$7:$B$46)))</f>
        <v/>
      </c>
      <c r="Z833" s="269" t="str">
        <f>IF(((AJ833=0)*(AH833&lt;&gt;"")*(AK833="-"))+((AJ833&lt;&gt;0)*(AH833&lt;&gt;"")*(AK833="-")),IF(AG833="X",Übersicht!$C$70,Übersicht!$C$69),"-")</f>
        <v>-</v>
      </c>
      <c r="AA833" s="252" t="str">
        <f>IF((($A833="")*($B833=""))+((MID($Y833,1,4)&lt;&gt;"Wahl")*(Deckblatt!$C$14='WK-Vorlagen'!$C$82))+(Deckblatt!$C$14&lt;&gt;'WK-Vorlagen'!$C$82),"",IF(ISERROR(MATCH(VALUE(MID(G833,1,2)),Schwierigkeitsstufen!$G$7:$G$19,0)),"Gerät falsch",LOOKUP(VALUE(MID(G833,1,2)),Schwierigkeitsstufen!$G$7:$G$19,Schwierigkeitsstufen!$H$7:$H$19)))</f>
        <v/>
      </c>
      <c r="AB833" s="250" t="str">
        <f>IF((($A833="")*($B833=""))+((MID($Y833,1,4)&lt;&gt;"Wahl")*(Deckblatt!$C$14='WK-Vorlagen'!$C$82))+(Deckblatt!$C$14&lt;&gt;'WK-Vorlagen'!$C$82),"",IF(ISERROR(MATCH(VALUE(MID(H833,1,2)),Schwierigkeitsstufen!$G$7:$G$19,0)),"Gerät falsch",LOOKUP(VALUE(MID(H833,1,2)),Schwierigkeitsstufen!$G$7:$G$19,Schwierigkeitsstufen!$H$7:$H$19)))</f>
        <v/>
      </c>
      <c r="AC833" s="250" t="str">
        <f>IF((($A833="")*($B833=""))+((MID($Y833,1,4)&lt;&gt;"Wahl")*(Deckblatt!$C$14='WK-Vorlagen'!$C$82))+(Deckblatt!$C$14&lt;&gt;'WK-Vorlagen'!$C$82),"",IF(ISERROR(MATCH(VALUE(MID(I833,1,2)),Schwierigkeitsstufen!$G$7:$G$19,0)),"Gerät falsch",LOOKUP(VALUE(MID(I833,1,2)),Schwierigkeitsstufen!$G$7:$G$19,Schwierigkeitsstufen!$H$7:$H$19)))</f>
        <v/>
      </c>
      <c r="AD833" s="251" t="str">
        <f>IF((($A833="")*($B833=""))+((MID($Y833,1,4)&lt;&gt;"Wahl")*(Deckblatt!$C$14='WK-Vorlagen'!$C$82))+(Deckblatt!$C$14&lt;&gt;'WK-Vorlagen'!$C$82),"",IF(ISERROR(MATCH(VALUE(MID(J833,1,2)),Schwierigkeitsstufen!$G$7:$G$19,0)),"Gerät falsch",LOOKUP(VALUE(MID(J833,1,2)),Schwierigkeitsstufen!$G$7:$G$19,Schwierigkeitsstufen!$H$7:$H$19)))</f>
        <v/>
      </c>
      <c r="AE833" s="211"/>
      <c r="AG833" s="221" t="str">
        <f t="shared" si="108"/>
        <v/>
      </c>
      <c r="AH833" s="222" t="str">
        <f t="shared" si="110"/>
        <v/>
      </c>
      <c r="AI833" s="220">
        <f t="shared" si="115"/>
        <v>4</v>
      </c>
      <c r="AJ833" s="222">
        <f t="shared" si="111"/>
        <v>0</v>
      </c>
      <c r="AK833" s="299" t="str">
        <f>IF(ISERROR(LOOKUP(E833,WKNrListe,Übersicht!$R$7:$R$46)),"-",LOOKUP(E833,WKNrListe,Übersicht!$R$7:$R$46))</f>
        <v>-</v>
      </c>
      <c r="AL833" s="299" t="str">
        <f t="shared" si="114"/>
        <v>-</v>
      </c>
      <c r="AM833" s="303"/>
      <c r="AN833" s="174" t="str">
        <f t="shared" si="116"/>
        <v>Leer</v>
      </c>
    </row>
    <row r="834" spans="1:40" s="174" customFormat="1" ht="15" customHeight="1">
      <c r="A834" s="63"/>
      <c r="B834" s="63"/>
      <c r="C834" s="84"/>
      <c r="D834" s="85"/>
      <c r="E834" s="62"/>
      <c r="F834" s="62"/>
      <c r="G834" s="62"/>
      <c r="H834" s="62"/>
      <c r="I834" s="62"/>
      <c r="J834" s="62"/>
      <c r="K834" s="62"/>
      <c r="L834" s="62"/>
      <c r="M834" s="62"/>
      <c r="N834" s="62"/>
      <c r="O834" s="62"/>
      <c r="P834" s="62"/>
      <c r="Q834" s="62"/>
      <c r="R834" s="62"/>
      <c r="S834" s="258"/>
      <c r="T834" s="248" t="str">
        <f t="shared" si="112"/>
        <v/>
      </c>
      <c r="U834" s="249" t="str">
        <f t="shared" si="113"/>
        <v/>
      </c>
      <c r="V834" s="294" t="str">
        <f t="shared" si="109"/>
        <v/>
      </c>
      <c r="W834" s="294" t="str">
        <f>IF(((E834="")+(F834="")),"",IF(VLOOKUP(F834,Mannschaften!$A$1:$B$54,2,FALSE)&lt;&gt;E834,"Reiter Mannschaften füllen",""))</f>
        <v/>
      </c>
      <c r="X834" s="248" t="str">
        <f>IF(ISBLANK(C834),"",IF((U834&gt;(LOOKUP(E834,WKNrListe,Übersicht!$O$7:$O$46)))+(U834&lt;(LOOKUP(E834,WKNrListe,Übersicht!$P$7:$P$46))),"JG falsch",""))</f>
        <v/>
      </c>
      <c r="Y834" s="255" t="str">
        <f>IF((A834="")*(B834=""),"",IF(ISERROR(MATCH(E834,WKNrListe,0)),"WK falsch",LOOKUP(E834,WKNrListe,Übersicht!$B$7:$B$46)))</f>
        <v/>
      </c>
      <c r="Z834" s="269" t="str">
        <f>IF(((AJ834=0)*(AH834&lt;&gt;"")*(AK834="-"))+((AJ834&lt;&gt;0)*(AH834&lt;&gt;"")*(AK834="-")),IF(AG834="X",Übersicht!$C$70,Übersicht!$C$69),"-")</f>
        <v>-</v>
      </c>
      <c r="AA834" s="252" t="str">
        <f>IF((($A834="")*($B834=""))+((MID($Y834,1,4)&lt;&gt;"Wahl")*(Deckblatt!$C$14='WK-Vorlagen'!$C$82))+(Deckblatt!$C$14&lt;&gt;'WK-Vorlagen'!$C$82),"",IF(ISERROR(MATCH(VALUE(MID(G834,1,2)),Schwierigkeitsstufen!$G$7:$G$19,0)),"Gerät falsch",LOOKUP(VALUE(MID(G834,1,2)),Schwierigkeitsstufen!$G$7:$G$19,Schwierigkeitsstufen!$H$7:$H$19)))</f>
        <v/>
      </c>
      <c r="AB834" s="250" t="str">
        <f>IF((($A834="")*($B834=""))+((MID($Y834,1,4)&lt;&gt;"Wahl")*(Deckblatt!$C$14='WK-Vorlagen'!$C$82))+(Deckblatt!$C$14&lt;&gt;'WK-Vorlagen'!$C$82),"",IF(ISERROR(MATCH(VALUE(MID(H834,1,2)),Schwierigkeitsstufen!$G$7:$G$19,0)),"Gerät falsch",LOOKUP(VALUE(MID(H834,1,2)),Schwierigkeitsstufen!$G$7:$G$19,Schwierigkeitsstufen!$H$7:$H$19)))</f>
        <v/>
      </c>
      <c r="AC834" s="250" t="str">
        <f>IF((($A834="")*($B834=""))+((MID($Y834,1,4)&lt;&gt;"Wahl")*(Deckblatt!$C$14='WK-Vorlagen'!$C$82))+(Deckblatt!$C$14&lt;&gt;'WK-Vorlagen'!$C$82),"",IF(ISERROR(MATCH(VALUE(MID(I834,1,2)),Schwierigkeitsstufen!$G$7:$G$19,0)),"Gerät falsch",LOOKUP(VALUE(MID(I834,1,2)),Schwierigkeitsstufen!$G$7:$G$19,Schwierigkeitsstufen!$H$7:$H$19)))</f>
        <v/>
      </c>
      <c r="AD834" s="251" t="str">
        <f>IF((($A834="")*($B834=""))+((MID($Y834,1,4)&lt;&gt;"Wahl")*(Deckblatt!$C$14='WK-Vorlagen'!$C$82))+(Deckblatt!$C$14&lt;&gt;'WK-Vorlagen'!$C$82),"",IF(ISERROR(MATCH(VALUE(MID(J834,1,2)),Schwierigkeitsstufen!$G$7:$G$19,0)),"Gerät falsch",LOOKUP(VALUE(MID(J834,1,2)),Schwierigkeitsstufen!$G$7:$G$19,Schwierigkeitsstufen!$H$7:$H$19)))</f>
        <v/>
      </c>
      <c r="AE834" s="211"/>
      <c r="AG834" s="221" t="str">
        <f t="shared" si="108"/>
        <v/>
      </c>
      <c r="AH834" s="222" t="str">
        <f t="shared" si="110"/>
        <v/>
      </c>
      <c r="AI834" s="220">
        <f t="shared" si="115"/>
        <v>4</v>
      </c>
      <c r="AJ834" s="222">
        <f t="shared" si="111"/>
        <v>0</v>
      </c>
      <c r="AK834" s="299" t="str">
        <f>IF(ISERROR(LOOKUP(E834,WKNrListe,Übersicht!$R$7:$R$46)),"-",LOOKUP(E834,WKNrListe,Übersicht!$R$7:$R$46))</f>
        <v>-</v>
      </c>
      <c r="AL834" s="299" t="str">
        <f t="shared" si="114"/>
        <v>-</v>
      </c>
      <c r="AM834" s="303"/>
      <c r="AN834" s="174" t="str">
        <f t="shared" si="116"/>
        <v>Leer</v>
      </c>
    </row>
    <row r="835" spans="1:40" s="174" customFormat="1" ht="15" customHeight="1">
      <c r="A835" s="63"/>
      <c r="B835" s="63"/>
      <c r="C835" s="84"/>
      <c r="D835" s="85"/>
      <c r="E835" s="62"/>
      <c r="F835" s="62"/>
      <c r="G835" s="62"/>
      <c r="H835" s="62"/>
      <c r="I835" s="62"/>
      <c r="J835" s="62"/>
      <c r="K835" s="62"/>
      <c r="L835" s="62"/>
      <c r="M835" s="62"/>
      <c r="N835" s="62"/>
      <c r="O835" s="62"/>
      <c r="P835" s="62"/>
      <c r="Q835" s="62"/>
      <c r="R835" s="62"/>
      <c r="S835" s="258"/>
      <c r="T835" s="248" t="str">
        <f t="shared" si="112"/>
        <v/>
      </c>
      <c r="U835" s="249" t="str">
        <f t="shared" si="113"/>
        <v/>
      </c>
      <c r="V835" s="294" t="str">
        <f t="shared" si="109"/>
        <v/>
      </c>
      <c r="W835" s="294" t="str">
        <f>IF(((E835="")+(F835="")),"",IF(VLOOKUP(F835,Mannschaften!$A$1:$B$54,2,FALSE)&lt;&gt;E835,"Reiter Mannschaften füllen",""))</f>
        <v/>
      </c>
      <c r="X835" s="248" t="str">
        <f>IF(ISBLANK(C835),"",IF((U835&gt;(LOOKUP(E835,WKNrListe,Übersicht!$O$7:$O$46)))+(U835&lt;(LOOKUP(E835,WKNrListe,Übersicht!$P$7:$P$46))),"JG falsch",""))</f>
        <v/>
      </c>
      <c r="Y835" s="255" t="str">
        <f>IF((A835="")*(B835=""),"",IF(ISERROR(MATCH(E835,WKNrListe,0)),"WK falsch",LOOKUP(E835,WKNrListe,Übersicht!$B$7:$B$46)))</f>
        <v/>
      </c>
      <c r="Z835" s="269" t="str">
        <f>IF(((AJ835=0)*(AH835&lt;&gt;"")*(AK835="-"))+((AJ835&lt;&gt;0)*(AH835&lt;&gt;"")*(AK835="-")),IF(AG835="X",Übersicht!$C$70,Übersicht!$C$69),"-")</f>
        <v>-</v>
      </c>
      <c r="AA835" s="252" t="str">
        <f>IF((($A835="")*($B835=""))+((MID($Y835,1,4)&lt;&gt;"Wahl")*(Deckblatt!$C$14='WK-Vorlagen'!$C$82))+(Deckblatt!$C$14&lt;&gt;'WK-Vorlagen'!$C$82),"",IF(ISERROR(MATCH(VALUE(MID(G835,1,2)),Schwierigkeitsstufen!$G$7:$G$19,0)),"Gerät falsch",LOOKUP(VALUE(MID(G835,1,2)),Schwierigkeitsstufen!$G$7:$G$19,Schwierigkeitsstufen!$H$7:$H$19)))</f>
        <v/>
      </c>
      <c r="AB835" s="250" t="str">
        <f>IF((($A835="")*($B835=""))+((MID($Y835,1,4)&lt;&gt;"Wahl")*(Deckblatt!$C$14='WK-Vorlagen'!$C$82))+(Deckblatt!$C$14&lt;&gt;'WK-Vorlagen'!$C$82),"",IF(ISERROR(MATCH(VALUE(MID(H835,1,2)),Schwierigkeitsstufen!$G$7:$G$19,0)),"Gerät falsch",LOOKUP(VALUE(MID(H835,1,2)),Schwierigkeitsstufen!$G$7:$G$19,Schwierigkeitsstufen!$H$7:$H$19)))</f>
        <v/>
      </c>
      <c r="AC835" s="250" t="str">
        <f>IF((($A835="")*($B835=""))+((MID($Y835,1,4)&lt;&gt;"Wahl")*(Deckblatt!$C$14='WK-Vorlagen'!$C$82))+(Deckblatt!$C$14&lt;&gt;'WK-Vorlagen'!$C$82),"",IF(ISERROR(MATCH(VALUE(MID(I835,1,2)),Schwierigkeitsstufen!$G$7:$G$19,0)),"Gerät falsch",LOOKUP(VALUE(MID(I835,1,2)),Schwierigkeitsstufen!$G$7:$G$19,Schwierigkeitsstufen!$H$7:$H$19)))</f>
        <v/>
      </c>
      <c r="AD835" s="251" t="str">
        <f>IF((($A835="")*($B835=""))+((MID($Y835,1,4)&lt;&gt;"Wahl")*(Deckblatt!$C$14='WK-Vorlagen'!$C$82))+(Deckblatt!$C$14&lt;&gt;'WK-Vorlagen'!$C$82),"",IF(ISERROR(MATCH(VALUE(MID(J835,1,2)),Schwierigkeitsstufen!$G$7:$G$19,0)),"Gerät falsch",LOOKUP(VALUE(MID(J835,1,2)),Schwierigkeitsstufen!$G$7:$G$19,Schwierigkeitsstufen!$H$7:$H$19)))</f>
        <v/>
      </c>
      <c r="AE835" s="211"/>
      <c r="AG835" s="221" t="str">
        <f t="shared" si="108"/>
        <v/>
      </c>
      <c r="AH835" s="222" t="str">
        <f t="shared" si="110"/>
        <v/>
      </c>
      <c r="AI835" s="220">
        <f t="shared" si="115"/>
        <v>4</v>
      </c>
      <c r="AJ835" s="222">
        <f t="shared" si="111"/>
        <v>0</v>
      </c>
      <c r="AK835" s="299" t="str">
        <f>IF(ISERROR(LOOKUP(E835,WKNrListe,Übersicht!$R$7:$R$46)),"-",LOOKUP(E835,WKNrListe,Übersicht!$R$7:$R$46))</f>
        <v>-</v>
      </c>
      <c r="AL835" s="299" t="str">
        <f t="shared" si="114"/>
        <v>-</v>
      </c>
      <c r="AM835" s="303"/>
      <c r="AN835" s="174" t="str">
        <f t="shared" si="116"/>
        <v>Leer</v>
      </c>
    </row>
    <row r="836" spans="1:40" s="174" customFormat="1" ht="15" customHeight="1">
      <c r="A836" s="63"/>
      <c r="B836" s="63"/>
      <c r="C836" s="84"/>
      <c r="D836" s="85"/>
      <c r="E836" s="62"/>
      <c r="F836" s="62"/>
      <c r="G836" s="62"/>
      <c r="H836" s="62"/>
      <c r="I836" s="62"/>
      <c r="J836" s="62"/>
      <c r="K836" s="62"/>
      <c r="L836" s="62"/>
      <c r="M836" s="62"/>
      <c r="N836" s="62"/>
      <c r="O836" s="62"/>
      <c r="P836" s="62"/>
      <c r="Q836" s="62"/>
      <c r="R836" s="62"/>
      <c r="S836" s="258"/>
      <c r="T836" s="248" t="str">
        <f t="shared" si="112"/>
        <v/>
      </c>
      <c r="U836" s="249" t="str">
        <f t="shared" si="113"/>
        <v/>
      </c>
      <c r="V836" s="294" t="str">
        <f t="shared" si="109"/>
        <v/>
      </c>
      <c r="W836" s="294" t="str">
        <f>IF(((E836="")+(F836="")),"",IF(VLOOKUP(F836,Mannschaften!$A$1:$B$54,2,FALSE)&lt;&gt;E836,"Reiter Mannschaften füllen",""))</f>
        <v/>
      </c>
      <c r="X836" s="248" t="str">
        <f>IF(ISBLANK(C836),"",IF((U836&gt;(LOOKUP(E836,WKNrListe,Übersicht!$O$7:$O$46)))+(U836&lt;(LOOKUP(E836,WKNrListe,Übersicht!$P$7:$P$46))),"JG falsch",""))</f>
        <v/>
      </c>
      <c r="Y836" s="255" t="str">
        <f>IF((A836="")*(B836=""),"",IF(ISERROR(MATCH(E836,WKNrListe,0)),"WK falsch",LOOKUP(E836,WKNrListe,Übersicht!$B$7:$B$46)))</f>
        <v/>
      </c>
      <c r="Z836" s="269" t="str">
        <f>IF(((AJ836=0)*(AH836&lt;&gt;"")*(AK836="-"))+((AJ836&lt;&gt;0)*(AH836&lt;&gt;"")*(AK836="-")),IF(AG836="X",Übersicht!$C$70,Übersicht!$C$69),"-")</f>
        <v>-</v>
      </c>
      <c r="AA836" s="252" t="str">
        <f>IF((($A836="")*($B836=""))+((MID($Y836,1,4)&lt;&gt;"Wahl")*(Deckblatt!$C$14='WK-Vorlagen'!$C$82))+(Deckblatt!$C$14&lt;&gt;'WK-Vorlagen'!$C$82),"",IF(ISERROR(MATCH(VALUE(MID(G836,1,2)),Schwierigkeitsstufen!$G$7:$G$19,0)),"Gerät falsch",LOOKUP(VALUE(MID(G836,1,2)),Schwierigkeitsstufen!$G$7:$G$19,Schwierigkeitsstufen!$H$7:$H$19)))</f>
        <v/>
      </c>
      <c r="AB836" s="250" t="str">
        <f>IF((($A836="")*($B836=""))+((MID($Y836,1,4)&lt;&gt;"Wahl")*(Deckblatt!$C$14='WK-Vorlagen'!$C$82))+(Deckblatt!$C$14&lt;&gt;'WK-Vorlagen'!$C$82),"",IF(ISERROR(MATCH(VALUE(MID(H836,1,2)),Schwierigkeitsstufen!$G$7:$G$19,0)),"Gerät falsch",LOOKUP(VALUE(MID(H836,1,2)),Schwierigkeitsstufen!$G$7:$G$19,Schwierigkeitsstufen!$H$7:$H$19)))</f>
        <v/>
      </c>
      <c r="AC836" s="250" t="str">
        <f>IF((($A836="")*($B836=""))+((MID($Y836,1,4)&lt;&gt;"Wahl")*(Deckblatt!$C$14='WK-Vorlagen'!$C$82))+(Deckblatt!$C$14&lt;&gt;'WK-Vorlagen'!$C$82),"",IF(ISERROR(MATCH(VALUE(MID(I836,1,2)),Schwierigkeitsstufen!$G$7:$G$19,0)),"Gerät falsch",LOOKUP(VALUE(MID(I836,1,2)),Schwierigkeitsstufen!$G$7:$G$19,Schwierigkeitsstufen!$H$7:$H$19)))</f>
        <v/>
      </c>
      <c r="AD836" s="251" t="str">
        <f>IF((($A836="")*($B836=""))+((MID($Y836,1,4)&lt;&gt;"Wahl")*(Deckblatt!$C$14='WK-Vorlagen'!$C$82))+(Deckblatt!$C$14&lt;&gt;'WK-Vorlagen'!$C$82),"",IF(ISERROR(MATCH(VALUE(MID(J836,1,2)),Schwierigkeitsstufen!$G$7:$G$19,0)),"Gerät falsch",LOOKUP(VALUE(MID(J836,1,2)),Schwierigkeitsstufen!$G$7:$G$19,Schwierigkeitsstufen!$H$7:$H$19)))</f>
        <v/>
      </c>
      <c r="AE836" s="211"/>
      <c r="AG836" s="221" t="str">
        <f t="shared" ref="AG836:AG899" si="117">IF((C836&lt;&gt;0),IF(((Jahr-U836)&gt;19)*(AJ836=0)*(AK836&lt;&gt;1),"X",IF(((Jahr-U836)&gt;19)*(AJ836=0),"J","-")),"")</f>
        <v/>
      </c>
      <c r="AH836" s="222" t="str">
        <f t="shared" si="110"/>
        <v/>
      </c>
      <c r="AI836" s="220">
        <f t="shared" si="115"/>
        <v>4</v>
      </c>
      <c r="AJ836" s="222">
        <f t="shared" si="111"/>
        <v>0</v>
      </c>
      <c r="AK836" s="299" t="str">
        <f>IF(ISERROR(LOOKUP(E836,WKNrListe,Übersicht!$R$7:$R$46)),"-",LOOKUP(E836,WKNrListe,Übersicht!$R$7:$R$46))</f>
        <v>-</v>
      </c>
      <c r="AL836" s="299" t="str">
        <f t="shared" si="114"/>
        <v>-</v>
      </c>
      <c r="AM836" s="303"/>
      <c r="AN836" s="174" t="str">
        <f t="shared" si="116"/>
        <v>Leer</v>
      </c>
    </row>
    <row r="837" spans="1:40" s="174" customFormat="1" ht="15" customHeight="1">
      <c r="A837" s="63"/>
      <c r="B837" s="63"/>
      <c r="C837" s="84"/>
      <c r="D837" s="85"/>
      <c r="E837" s="62"/>
      <c r="F837" s="62"/>
      <c r="G837" s="62"/>
      <c r="H837" s="62"/>
      <c r="I837" s="62"/>
      <c r="J837" s="62"/>
      <c r="K837" s="62"/>
      <c r="L837" s="62"/>
      <c r="M837" s="62"/>
      <c r="N837" s="62"/>
      <c r="O837" s="62"/>
      <c r="P837" s="62"/>
      <c r="Q837" s="62"/>
      <c r="R837" s="62"/>
      <c r="S837" s="258"/>
      <c r="T837" s="248" t="str">
        <f t="shared" si="112"/>
        <v/>
      </c>
      <c r="U837" s="249" t="str">
        <f t="shared" si="113"/>
        <v/>
      </c>
      <c r="V837" s="294" t="str">
        <f t="shared" ref="V837:V900" si="118">IF(((AK837="-")*(F837=""))+((AK837=1)*(F837&lt;&gt;""))+(Y837="WK falsch"),"",IF((AK837=1)*(F837=""),"Mannsch-Nr fehlt","Mannsch-Nr entf"))</f>
        <v/>
      </c>
      <c r="W837" s="294" t="str">
        <f>IF(((E837="")+(F837="")),"",IF(VLOOKUP(F837,Mannschaften!$A$1:$B$54,2,FALSE)&lt;&gt;E837,"Reiter Mannschaften füllen",""))</f>
        <v/>
      </c>
      <c r="X837" s="248" t="str">
        <f>IF(ISBLANK(C837),"",IF((U837&gt;(LOOKUP(E837,WKNrListe,Übersicht!$O$7:$O$46)))+(U837&lt;(LOOKUP(E837,WKNrListe,Übersicht!$P$7:$P$46))),"JG falsch",""))</f>
        <v/>
      </c>
      <c r="Y837" s="255" t="str">
        <f>IF((A837="")*(B837=""),"",IF(ISERROR(MATCH(E837,WKNrListe,0)),"WK falsch",LOOKUP(E837,WKNrListe,Übersicht!$B$7:$B$46)))</f>
        <v/>
      </c>
      <c r="Z837" s="269" t="str">
        <f>IF(((AJ837=0)*(AH837&lt;&gt;"")*(AK837="-"))+((AJ837&lt;&gt;0)*(AH837&lt;&gt;"")*(AK837="-")),IF(AG837="X",Übersicht!$C$70,Übersicht!$C$69),"-")</f>
        <v>-</v>
      </c>
      <c r="AA837" s="252" t="str">
        <f>IF((($A837="")*($B837=""))+((MID($Y837,1,4)&lt;&gt;"Wahl")*(Deckblatt!$C$14='WK-Vorlagen'!$C$82))+(Deckblatt!$C$14&lt;&gt;'WK-Vorlagen'!$C$82),"",IF(ISERROR(MATCH(VALUE(MID(G837,1,2)),Schwierigkeitsstufen!$G$7:$G$19,0)),"Gerät falsch",LOOKUP(VALUE(MID(G837,1,2)),Schwierigkeitsstufen!$G$7:$G$19,Schwierigkeitsstufen!$H$7:$H$19)))</f>
        <v/>
      </c>
      <c r="AB837" s="250" t="str">
        <f>IF((($A837="")*($B837=""))+((MID($Y837,1,4)&lt;&gt;"Wahl")*(Deckblatt!$C$14='WK-Vorlagen'!$C$82))+(Deckblatt!$C$14&lt;&gt;'WK-Vorlagen'!$C$82),"",IF(ISERROR(MATCH(VALUE(MID(H837,1,2)),Schwierigkeitsstufen!$G$7:$G$19,0)),"Gerät falsch",LOOKUP(VALUE(MID(H837,1,2)),Schwierigkeitsstufen!$G$7:$G$19,Schwierigkeitsstufen!$H$7:$H$19)))</f>
        <v/>
      </c>
      <c r="AC837" s="250" t="str">
        <f>IF((($A837="")*($B837=""))+((MID($Y837,1,4)&lt;&gt;"Wahl")*(Deckblatt!$C$14='WK-Vorlagen'!$C$82))+(Deckblatt!$C$14&lt;&gt;'WK-Vorlagen'!$C$82),"",IF(ISERROR(MATCH(VALUE(MID(I837,1,2)),Schwierigkeitsstufen!$G$7:$G$19,0)),"Gerät falsch",LOOKUP(VALUE(MID(I837,1,2)),Schwierigkeitsstufen!$G$7:$G$19,Schwierigkeitsstufen!$H$7:$H$19)))</f>
        <v/>
      </c>
      <c r="AD837" s="251" t="str">
        <f>IF((($A837="")*($B837=""))+((MID($Y837,1,4)&lt;&gt;"Wahl")*(Deckblatt!$C$14='WK-Vorlagen'!$C$82))+(Deckblatt!$C$14&lt;&gt;'WK-Vorlagen'!$C$82),"",IF(ISERROR(MATCH(VALUE(MID(J837,1,2)),Schwierigkeitsstufen!$G$7:$G$19,0)),"Gerät falsch",LOOKUP(VALUE(MID(J837,1,2)),Schwierigkeitsstufen!$G$7:$G$19,Schwierigkeitsstufen!$H$7:$H$19)))</f>
        <v/>
      </c>
      <c r="AE837" s="211"/>
      <c r="AG837" s="221" t="str">
        <f t="shared" si="117"/>
        <v/>
      </c>
      <c r="AH837" s="222" t="str">
        <f t="shared" ref="AH837:AH900" si="119">CONCATENATE(TRIM(A837),TRIM(B837),TRIM(C837))</f>
        <v/>
      </c>
      <c r="AI837" s="220">
        <f t="shared" si="115"/>
        <v>4</v>
      </c>
      <c r="AJ837" s="222">
        <f t="shared" ref="AJ837:AJ900" si="120">IF(AH837="",0,IF(ROW(AH837)=AI837,0,AI837))</f>
        <v>0</v>
      </c>
      <c r="AK837" s="299" t="str">
        <f>IF(ISERROR(LOOKUP(E837,WKNrListe,Übersicht!$R$7:$R$46)),"-",LOOKUP(E837,WKNrListe,Übersicht!$R$7:$R$46))</f>
        <v>-</v>
      </c>
      <c r="AL837" s="299" t="str">
        <f t="shared" si="114"/>
        <v>-</v>
      </c>
      <c r="AM837" s="303"/>
      <c r="AN837" s="174" t="str">
        <f t="shared" si="116"/>
        <v>Leer</v>
      </c>
    </row>
    <row r="838" spans="1:40" s="174" customFormat="1" ht="15" customHeight="1">
      <c r="A838" s="63"/>
      <c r="B838" s="63"/>
      <c r="C838" s="84"/>
      <c r="D838" s="85"/>
      <c r="E838" s="62"/>
      <c r="F838" s="62"/>
      <c r="G838" s="62"/>
      <c r="H838" s="62"/>
      <c r="I838" s="62"/>
      <c r="J838" s="62"/>
      <c r="K838" s="62"/>
      <c r="L838" s="62"/>
      <c r="M838" s="62"/>
      <c r="N838" s="62"/>
      <c r="O838" s="62"/>
      <c r="P838" s="62"/>
      <c r="Q838" s="62"/>
      <c r="R838" s="62"/>
      <c r="S838" s="258"/>
      <c r="T838" s="248" t="str">
        <f t="shared" ref="T838:T901" si="121">IF(AND(OR(ISTEXT(A838),ISTEXT(B838),NOT(ISBLANK(C838)),NOT(ISBLANK(D838)),NOT(ISBLANK(E838))),OR(ISBLANK(A838),ISBLANK(B838),ISBLANK(C838),ISBLANK(E838))),"unvollständig","")</f>
        <v/>
      </c>
      <c r="U838" s="249" t="str">
        <f t="shared" ref="U838:U901" si="122">IF(ISBLANK(C838),"",YEAR(C838))</f>
        <v/>
      </c>
      <c r="V838" s="294" t="str">
        <f t="shared" si="118"/>
        <v/>
      </c>
      <c r="W838" s="294" t="str">
        <f>IF(((E838="")+(F838="")),"",IF(VLOOKUP(F838,Mannschaften!$A$1:$B$54,2,FALSE)&lt;&gt;E838,"Reiter Mannschaften füllen",""))</f>
        <v/>
      </c>
      <c r="X838" s="248" t="str">
        <f>IF(ISBLANK(C838),"",IF((U838&gt;(LOOKUP(E838,WKNrListe,Übersicht!$O$7:$O$46)))+(U838&lt;(LOOKUP(E838,WKNrListe,Übersicht!$P$7:$P$46))),"JG falsch",""))</f>
        <v/>
      </c>
      <c r="Y838" s="255" t="str">
        <f>IF((A838="")*(B838=""),"",IF(ISERROR(MATCH(E838,WKNrListe,0)),"WK falsch",LOOKUP(E838,WKNrListe,Übersicht!$B$7:$B$46)))</f>
        <v/>
      </c>
      <c r="Z838" s="269" t="str">
        <f>IF(((AJ838=0)*(AH838&lt;&gt;"")*(AK838="-"))+((AJ838&lt;&gt;0)*(AH838&lt;&gt;"")*(AK838="-")),IF(AG838="X",Übersicht!$C$70,Übersicht!$C$69),"-")</f>
        <v>-</v>
      </c>
      <c r="AA838" s="252" t="str">
        <f>IF((($A838="")*($B838=""))+((MID($Y838,1,4)&lt;&gt;"Wahl")*(Deckblatt!$C$14='WK-Vorlagen'!$C$82))+(Deckblatt!$C$14&lt;&gt;'WK-Vorlagen'!$C$82),"",IF(ISERROR(MATCH(VALUE(MID(G838,1,2)),Schwierigkeitsstufen!$G$7:$G$19,0)),"Gerät falsch",LOOKUP(VALUE(MID(G838,1,2)),Schwierigkeitsstufen!$G$7:$G$19,Schwierigkeitsstufen!$H$7:$H$19)))</f>
        <v/>
      </c>
      <c r="AB838" s="250" t="str">
        <f>IF((($A838="")*($B838=""))+((MID($Y838,1,4)&lt;&gt;"Wahl")*(Deckblatt!$C$14='WK-Vorlagen'!$C$82))+(Deckblatt!$C$14&lt;&gt;'WK-Vorlagen'!$C$82),"",IF(ISERROR(MATCH(VALUE(MID(H838,1,2)),Schwierigkeitsstufen!$G$7:$G$19,0)),"Gerät falsch",LOOKUP(VALUE(MID(H838,1,2)),Schwierigkeitsstufen!$G$7:$G$19,Schwierigkeitsstufen!$H$7:$H$19)))</f>
        <v/>
      </c>
      <c r="AC838" s="250" t="str">
        <f>IF((($A838="")*($B838=""))+((MID($Y838,1,4)&lt;&gt;"Wahl")*(Deckblatt!$C$14='WK-Vorlagen'!$C$82))+(Deckblatt!$C$14&lt;&gt;'WK-Vorlagen'!$C$82),"",IF(ISERROR(MATCH(VALUE(MID(I838,1,2)),Schwierigkeitsstufen!$G$7:$G$19,0)),"Gerät falsch",LOOKUP(VALUE(MID(I838,1,2)),Schwierigkeitsstufen!$G$7:$G$19,Schwierigkeitsstufen!$H$7:$H$19)))</f>
        <v/>
      </c>
      <c r="AD838" s="251" t="str">
        <f>IF((($A838="")*($B838=""))+((MID($Y838,1,4)&lt;&gt;"Wahl")*(Deckblatt!$C$14='WK-Vorlagen'!$C$82))+(Deckblatt!$C$14&lt;&gt;'WK-Vorlagen'!$C$82),"",IF(ISERROR(MATCH(VALUE(MID(J838,1,2)),Schwierigkeitsstufen!$G$7:$G$19,0)),"Gerät falsch",LOOKUP(VALUE(MID(J838,1,2)),Schwierigkeitsstufen!$G$7:$G$19,Schwierigkeitsstufen!$H$7:$H$19)))</f>
        <v/>
      </c>
      <c r="AE838" s="211"/>
      <c r="AG838" s="221" t="str">
        <f t="shared" si="117"/>
        <v/>
      </c>
      <c r="AH838" s="222" t="str">
        <f t="shared" si="119"/>
        <v/>
      </c>
      <c r="AI838" s="220">
        <f t="shared" si="115"/>
        <v>4</v>
      </c>
      <c r="AJ838" s="222">
        <f t="shared" si="120"/>
        <v>0</v>
      </c>
      <c r="AK838" s="299" t="str">
        <f>IF(ISERROR(LOOKUP(E838,WKNrListe,Übersicht!$R$7:$R$46)),"-",LOOKUP(E838,WKNrListe,Übersicht!$R$7:$R$46))</f>
        <v>-</v>
      </c>
      <c r="AL838" s="299" t="str">
        <f t="shared" ref="AL838:AL901" si="123">IF(E838="","-",E838)</f>
        <v>-</v>
      </c>
      <c r="AM838" s="303"/>
      <c r="AN838" s="174" t="str">
        <f t="shared" si="116"/>
        <v>Leer</v>
      </c>
    </row>
    <row r="839" spans="1:40" s="174" customFormat="1" ht="15" customHeight="1">
      <c r="A839" s="63"/>
      <c r="B839" s="63"/>
      <c r="C839" s="84"/>
      <c r="D839" s="85"/>
      <c r="E839" s="62"/>
      <c r="F839" s="62"/>
      <c r="G839" s="62"/>
      <c r="H839" s="62"/>
      <c r="I839" s="62"/>
      <c r="J839" s="62"/>
      <c r="K839" s="62"/>
      <c r="L839" s="62"/>
      <c r="M839" s="62"/>
      <c r="N839" s="62"/>
      <c r="O839" s="62"/>
      <c r="P839" s="62"/>
      <c r="Q839" s="62"/>
      <c r="R839" s="62"/>
      <c r="S839" s="258"/>
      <c r="T839" s="248" t="str">
        <f t="shared" si="121"/>
        <v/>
      </c>
      <c r="U839" s="249" t="str">
        <f t="shared" si="122"/>
        <v/>
      </c>
      <c r="V839" s="294" t="str">
        <f t="shared" si="118"/>
        <v/>
      </c>
      <c r="W839" s="294" t="str">
        <f>IF(((E839="")+(F839="")),"",IF(VLOOKUP(F839,Mannschaften!$A$1:$B$54,2,FALSE)&lt;&gt;E839,"Reiter Mannschaften füllen",""))</f>
        <v/>
      </c>
      <c r="X839" s="248" t="str">
        <f>IF(ISBLANK(C839),"",IF((U839&gt;(LOOKUP(E839,WKNrListe,Übersicht!$O$7:$O$46)))+(U839&lt;(LOOKUP(E839,WKNrListe,Übersicht!$P$7:$P$46))),"JG falsch",""))</f>
        <v/>
      </c>
      <c r="Y839" s="255" t="str">
        <f>IF((A839="")*(B839=""),"",IF(ISERROR(MATCH(E839,WKNrListe,0)),"WK falsch",LOOKUP(E839,WKNrListe,Übersicht!$B$7:$B$46)))</f>
        <v/>
      </c>
      <c r="Z839" s="269" t="str">
        <f>IF(((AJ839=0)*(AH839&lt;&gt;"")*(AK839="-"))+((AJ839&lt;&gt;0)*(AH839&lt;&gt;"")*(AK839="-")),IF(AG839="X",Übersicht!$C$70,Übersicht!$C$69),"-")</f>
        <v>-</v>
      </c>
      <c r="AA839" s="252" t="str">
        <f>IF((($A839="")*($B839=""))+((MID($Y839,1,4)&lt;&gt;"Wahl")*(Deckblatt!$C$14='WK-Vorlagen'!$C$82))+(Deckblatt!$C$14&lt;&gt;'WK-Vorlagen'!$C$82),"",IF(ISERROR(MATCH(VALUE(MID(G839,1,2)),Schwierigkeitsstufen!$G$7:$G$19,0)),"Gerät falsch",LOOKUP(VALUE(MID(G839,1,2)),Schwierigkeitsstufen!$G$7:$G$19,Schwierigkeitsstufen!$H$7:$H$19)))</f>
        <v/>
      </c>
      <c r="AB839" s="250" t="str">
        <f>IF((($A839="")*($B839=""))+((MID($Y839,1,4)&lt;&gt;"Wahl")*(Deckblatt!$C$14='WK-Vorlagen'!$C$82))+(Deckblatt!$C$14&lt;&gt;'WK-Vorlagen'!$C$82),"",IF(ISERROR(MATCH(VALUE(MID(H839,1,2)),Schwierigkeitsstufen!$G$7:$G$19,0)),"Gerät falsch",LOOKUP(VALUE(MID(H839,1,2)),Schwierigkeitsstufen!$G$7:$G$19,Schwierigkeitsstufen!$H$7:$H$19)))</f>
        <v/>
      </c>
      <c r="AC839" s="250" t="str">
        <f>IF((($A839="")*($B839=""))+((MID($Y839,1,4)&lt;&gt;"Wahl")*(Deckblatt!$C$14='WK-Vorlagen'!$C$82))+(Deckblatt!$C$14&lt;&gt;'WK-Vorlagen'!$C$82),"",IF(ISERROR(MATCH(VALUE(MID(I839,1,2)),Schwierigkeitsstufen!$G$7:$G$19,0)),"Gerät falsch",LOOKUP(VALUE(MID(I839,1,2)),Schwierigkeitsstufen!$G$7:$G$19,Schwierigkeitsstufen!$H$7:$H$19)))</f>
        <v/>
      </c>
      <c r="AD839" s="251" t="str">
        <f>IF((($A839="")*($B839=""))+((MID($Y839,1,4)&lt;&gt;"Wahl")*(Deckblatt!$C$14='WK-Vorlagen'!$C$82))+(Deckblatt!$C$14&lt;&gt;'WK-Vorlagen'!$C$82),"",IF(ISERROR(MATCH(VALUE(MID(J839,1,2)),Schwierigkeitsstufen!$G$7:$G$19,0)),"Gerät falsch",LOOKUP(VALUE(MID(J839,1,2)),Schwierigkeitsstufen!$G$7:$G$19,Schwierigkeitsstufen!$H$7:$H$19)))</f>
        <v/>
      </c>
      <c r="AE839" s="211"/>
      <c r="AG839" s="221" t="str">
        <f t="shared" si="117"/>
        <v/>
      </c>
      <c r="AH839" s="222" t="str">
        <f t="shared" si="119"/>
        <v/>
      </c>
      <c r="AI839" s="220">
        <f t="shared" ref="AI839:AI902" si="124">MATCH(AH839,AH:AH,0)</f>
        <v>4</v>
      </c>
      <c r="AJ839" s="222">
        <f t="shared" si="120"/>
        <v>0</v>
      </c>
      <c r="AK839" s="299" t="str">
        <f>IF(ISERROR(LOOKUP(E839,WKNrListe,Übersicht!$R$7:$R$46)),"-",LOOKUP(E839,WKNrListe,Übersicht!$R$7:$R$46))</f>
        <v>-</v>
      </c>
      <c r="AL839" s="299" t="str">
        <f t="shared" si="123"/>
        <v>-</v>
      </c>
      <c r="AM839" s="303"/>
      <c r="AN839" s="174" t="str">
        <f t="shared" si="116"/>
        <v>Leer</v>
      </c>
    </row>
    <row r="840" spans="1:40" s="174" customFormat="1" ht="15" customHeight="1">
      <c r="A840" s="63"/>
      <c r="B840" s="63"/>
      <c r="C840" s="84"/>
      <c r="D840" s="85"/>
      <c r="E840" s="62"/>
      <c r="F840" s="62"/>
      <c r="G840" s="62"/>
      <c r="H840" s="62"/>
      <c r="I840" s="62"/>
      <c r="J840" s="62"/>
      <c r="K840" s="62"/>
      <c r="L840" s="62"/>
      <c r="M840" s="62"/>
      <c r="N840" s="62"/>
      <c r="O840" s="62"/>
      <c r="P840" s="62"/>
      <c r="Q840" s="62"/>
      <c r="R840" s="62"/>
      <c r="S840" s="258"/>
      <c r="T840" s="248" t="str">
        <f t="shared" si="121"/>
        <v/>
      </c>
      <c r="U840" s="249" t="str">
        <f t="shared" si="122"/>
        <v/>
      </c>
      <c r="V840" s="294" t="str">
        <f t="shared" si="118"/>
        <v/>
      </c>
      <c r="W840" s="294" t="str">
        <f>IF(((E840="")+(F840="")),"",IF(VLOOKUP(F840,Mannschaften!$A$1:$B$54,2,FALSE)&lt;&gt;E840,"Reiter Mannschaften füllen",""))</f>
        <v/>
      </c>
      <c r="X840" s="248" t="str">
        <f>IF(ISBLANK(C840),"",IF((U840&gt;(LOOKUP(E840,WKNrListe,Übersicht!$O$7:$O$46)))+(U840&lt;(LOOKUP(E840,WKNrListe,Übersicht!$P$7:$P$46))),"JG falsch",""))</f>
        <v/>
      </c>
      <c r="Y840" s="255" t="str">
        <f>IF((A840="")*(B840=""),"",IF(ISERROR(MATCH(E840,WKNrListe,0)),"WK falsch",LOOKUP(E840,WKNrListe,Übersicht!$B$7:$B$46)))</f>
        <v/>
      </c>
      <c r="Z840" s="269" t="str">
        <f>IF(((AJ840=0)*(AH840&lt;&gt;"")*(AK840="-"))+((AJ840&lt;&gt;0)*(AH840&lt;&gt;"")*(AK840="-")),IF(AG840="X",Übersicht!$C$70,Übersicht!$C$69),"-")</f>
        <v>-</v>
      </c>
      <c r="AA840" s="252" t="str">
        <f>IF((($A840="")*($B840=""))+((MID($Y840,1,4)&lt;&gt;"Wahl")*(Deckblatt!$C$14='WK-Vorlagen'!$C$82))+(Deckblatt!$C$14&lt;&gt;'WK-Vorlagen'!$C$82),"",IF(ISERROR(MATCH(VALUE(MID(G840,1,2)),Schwierigkeitsstufen!$G$7:$G$19,0)),"Gerät falsch",LOOKUP(VALUE(MID(G840,1,2)),Schwierigkeitsstufen!$G$7:$G$19,Schwierigkeitsstufen!$H$7:$H$19)))</f>
        <v/>
      </c>
      <c r="AB840" s="250" t="str">
        <f>IF((($A840="")*($B840=""))+((MID($Y840,1,4)&lt;&gt;"Wahl")*(Deckblatt!$C$14='WK-Vorlagen'!$C$82))+(Deckblatt!$C$14&lt;&gt;'WK-Vorlagen'!$C$82),"",IF(ISERROR(MATCH(VALUE(MID(H840,1,2)),Schwierigkeitsstufen!$G$7:$G$19,0)),"Gerät falsch",LOOKUP(VALUE(MID(H840,1,2)),Schwierigkeitsstufen!$G$7:$G$19,Schwierigkeitsstufen!$H$7:$H$19)))</f>
        <v/>
      </c>
      <c r="AC840" s="250" t="str">
        <f>IF((($A840="")*($B840=""))+((MID($Y840,1,4)&lt;&gt;"Wahl")*(Deckblatt!$C$14='WK-Vorlagen'!$C$82))+(Deckblatt!$C$14&lt;&gt;'WK-Vorlagen'!$C$82),"",IF(ISERROR(MATCH(VALUE(MID(I840,1,2)),Schwierigkeitsstufen!$G$7:$G$19,0)),"Gerät falsch",LOOKUP(VALUE(MID(I840,1,2)),Schwierigkeitsstufen!$G$7:$G$19,Schwierigkeitsstufen!$H$7:$H$19)))</f>
        <v/>
      </c>
      <c r="AD840" s="251" t="str">
        <f>IF((($A840="")*($B840=""))+((MID($Y840,1,4)&lt;&gt;"Wahl")*(Deckblatt!$C$14='WK-Vorlagen'!$C$82))+(Deckblatt!$C$14&lt;&gt;'WK-Vorlagen'!$C$82),"",IF(ISERROR(MATCH(VALUE(MID(J840,1,2)),Schwierigkeitsstufen!$G$7:$G$19,0)),"Gerät falsch",LOOKUP(VALUE(MID(J840,1,2)),Schwierigkeitsstufen!$G$7:$G$19,Schwierigkeitsstufen!$H$7:$H$19)))</f>
        <v/>
      </c>
      <c r="AE840" s="211"/>
      <c r="AG840" s="221" t="str">
        <f t="shared" si="117"/>
        <v/>
      </c>
      <c r="AH840" s="222" t="str">
        <f t="shared" si="119"/>
        <v/>
      </c>
      <c r="AI840" s="220">
        <f t="shared" si="124"/>
        <v>4</v>
      </c>
      <c r="AJ840" s="222">
        <f t="shared" si="120"/>
        <v>0</v>
      </c>
      <c r="AK840" s="299" t="str">
        <f>IF(ISERROR(LOOKUP(E840,WKNrListe,Übersicht!$R$7:$R$46)),"-",LOOKUP(E840,WKNrListe,Übersicht!$R$7:$R$46))</f>
        <v>-</v>
      </c>
      <c r="AL840" s="299" t="str">
        <f t="shared" si="123"/>
        <v>-</v>
      </c>
      <c r="AM840" s="303"/>
      <c r="AN840" s="174" t="str">
        <f t="shared" si="116"/>
        <v>Leer</v>
      </c>
    </row>
    <row r="841" spans="1:40" s="174" customFormat="1" ht="15" customHeight="1">
      <c r="A841" s="63"/>
      <c r="B841" s="63"/>
      <c r="C841" s="84"/>
      <c r="D841" s="85"/>
      <c r="E841" s="62"/>
      <c r="F841" s="62"/>
      <c r="G841" s="62"/>
      <c r="H841" s="62"/>
      <c r="I841" s="62"/>
      <c r="J841" s="62"/>
      <c r="K841" s="62"/>
      <c r="L841" s="62"/>
      <c r="M841" s="62"/>
      <c r="N841" s="62"/>
      <c r="O841" s="62"/>
      <c r="P841" s="62"/>
      <c r="Q841" s="62"/>
      <c r="R841" s="62"/>
      <c r="S841" s="258"/>
      <c r="T841" s="248" t="str">
        <f t="shared" si="121"/>
        <v/>
      </c>
      <c r="U841" s="249" t="str">
        <f t="shared" si="122"/>
        <v/>
      </c>
      <c r="V841" s="294" t="str">
        <f t="shared" si="118"/>
        <v/>
      </c>
      <c r="W841" s="294" t="str">
        <f>IF(((E841="")+(F841="")),"",IF(VLOOKUP(F841,Mannschaften!$A$1:$B$54,2,FALSE)&lt;&gt;E841,"Reiter Mannschaften füllen",""))</f>
        <v/>
      </c>
      <c r="X841" s="248" t="str">
        <f>IF(ISBLANK(C841),"",IF((U841&gt;(LOOKUP(E841,WKNrListe,Übersicht!$O$7:$O$46)))+(U841&lt;(LOOKUP(E841,WKNrListe,Übersicht!$P$7:$P$46))),"JG falsch",""))</f>
        <v/>
      </c>
      <c r="Y841" s="255" t="str">
        <f>IF((A841="")*(B841=""),"",IF(ISERROR(MATCH(E841,WKNrListe,0)),"WK falsch",LOOKUP(E841,WKNrListe,Übersicht!$B$7:$B$46)))</f>
        <v/>
      </c>
      <c r="Z841" s="269" t="str">
        <f>IF(((AJ841=0)*(AH841&lt;&gt;"")*(AK841="-"))+((AJ841&lt;&gt;0)*(AH841&lt;&gt;"")*(AK841="-")),IF(AG841="X",Übersicht!$C$70,Übersicht!$C$69),"-")</f>
        <v>-</v>
      </c>
      <c r="AA841" s="252" t="str">
        <f>IF((($A841="")*($B841=""))+((MID($Y841,1,4)&lt;&gt;"Wahl")*(Deckblatt!$C$14='WK-Vorlagen'!$C$82))+(Deckblatt!$C$14&lt;&gt;'WK-Vorlagen'!$C$82),"",IF(ISERROR(MATCH(VALUE(MID(G841,1,2)),Schwierigkeitsstufen!$G$7:$G$19,0)),"Gerät falsch",LOOKUP(VALUE(MID(G841,1,2)),Schwierigkeitsstufen!$G$7:$G$19,Schwierigkeitsstufen!$H$7:$H$19)))</f>
        <v/>
      </c>
      <c r="AB841" s="250" t="str">
        <f>IF((($A841="")*($B841=""))+((MID($Y841,1,4)&lt;&gt;"Wahl")*(Deckblatt!$C$14='WK-Vorlagen'!$C$82))+(Deckblatt!$C$14&lt;&gt;'WK-Vorlagen'!$C$82),"",IF(ISERROR(MATCH(VALUE(MID(H841,1,2)),Schwierigkeitsstufen!$G$7:$G$19,0)),"Gerät falsch",LOOKUP(VALUE(MID(H841,1,2)),Schwierigkeitsstufen!$G$7:$G$19,Schwierigkeitsstufen!$H$7:$H$19)))</f>
        <v/>
      </c>
      <c r="AC841" s="250" t="str">
        <f>IF((($A841="")*($B841=""))+((MID($Y841,1,4)&lt;&gt;"Wahl")*(Deckblatt!$C$14='WK-Vorlagen'!$C$82))+(Deckblatt!$C$14&lt;&gt;'WK-Vorlagen'!$C$82),"",IF(ISERROR(MATCH(VALUE(MID(I841,1,2)),Schwierigkeitsstufen!$G$7:$G$19,0)),"Gerät falsch",LOOKUP(VALUE(MID(I841,1,2)),Schwierigkeitsstufen!$G$7:$G$19,Schwierigkeitsstufen!$H$7:$H$19)))</f>
        <v/>
      </c>
      <c r="AD841" s="251" t="str">
        <f>IF((($A841="")*($B841=""))+((MID($Y841,1,4)&lt;&gt;"Wahl")*(Deckblatt!$C$14='WK-Vorlagen'!$C$82))+(Deckblatt!$C$14&lt;&gt;'WK-Vorlagen'!$C$82),"",IF(ISERROR(MATCH(VALUE(MID(J841,1,2)),Schwierigkeitsstufen!$G$7:$G$19,0)),"Gerät falsch",LOOKUP(VALUE(MID(J841,1,2)),Schwierigkeitsstufen!$G$7:$G$19,Schwierigkeitsstufen!$H$7:$H$19)))</f>
        <v/>
      </c>
      <c r="AE841" s="211"/>
      <c r="AG841" s="221" t="str">
        <f t="shared" si="117"/>
        <v/>
      </c>
      <c r="AH841" s="222" t="str">
        <f t="shared" si="119"/>
        <v/>
      </c>
      <c r="AI841" s="220">
        <f t="shared" si="124"/>
        <v>4</v>
      </c>
      <c r="AJ841" s="222">
        <f t="shared" si="120"/>
        <v>0</v>
      </c>
      <c r="AK841" s="299" t="str">
        <f>IF(ISERROR(LOOKUP(E841,WKNrListe,Übersicht!$R$7:$R$46)),"-",LOOKUP(E841,WKNrListe,Übersicht!$R$7:$R$46))</f>
        <v>-</v>
      </c>
      <c r="AL841" s="299" t="str">
        <f t="shared" si="123"/>
        <v>-</v>
      </c>
      <c r="AM841" s="303"/>
      <c r="AN841" s="174" t="str">
        <f t="shared" si="116"/>
        <v>Leer</v>
      </c>
    </row>
    <row r="842" spans="1:40" s="174" customFormat="1" ht="15" customHeight="1">
      <c r="A842" s="63"/>
      <c r="B842" s="63"/>
      <c r="C842" s="84"/>
      <c r="D842" s="85"/>
      <c r="E842" s="62"/>
      <c r="F842" s="62"/>
      <c r="G842" s="62"/>
      <c r="H842" s="62"/>
      <c r="I842" s="62"/>
      <c r="J842" s="62"/>
      <c r="K842" s="62"/>
      <c r="L842" s="62"/>
      <c r="M842" s="62"/>
      <c r="N842" s="62"/>
      <c r="O842" s="62"/>
      <c r="P842" s="62"/>
      <c r="Q842" s="62"/>
      <c r="R842" s="62"/>
      <c r="S842" s="258"/>
      <c r="T842" s="248" t="str">
        <f t="shared" si="121"/>
        <v/>
      </c>
      <c r="U842" s="249" t="str">
        <f t="shared" si="122"/>
        <v/>
      </c>
      <c r="V842" s="294" t="str">
        <f t="shared" si="118"/>
        <v/>
      </c>
      <c r="W842" s="294" t="str">
        <f>IF(((E842="")+(F842="")),"",IF(VLOOKUP(F842,Mannschaften!$A$1:$B$54,2,FALSE)&lt;&gt;E842,"Reiter Mannschaften füllen",""))</f>
        <v/>
      </c>
      <c r="X842" s="248" t="str">
        <f>IF(ISBLANK(C842),"",IF((U842&gt;(LOOKUP(E842,WKNrListe,Übersicht!$O$7:$O$46)))+(U842&lt;(LOOKUP(E842,WKNrListe,Übersicht!$P$7:$P$46))),"JG falsch",""))</f>
        <v/>
      </c>
      <c r="Y842" s="255" t="str">
        <f>IF((A842="")*(B842=""),"",IF(ISERROR(MATCH(E842,WKNrListe,0)),"WK falsch",LOOKUP(E842,WKNrListe,Übersicht!$B$7:$B$46)))</f>
        <v/>
      </c>
      <c r="Z842" s="269" t="str">
        <f>IF(((AJ842=0)*(AH842&lt;&gt;"")*(AK842="-"))+((AJ842&lt;&gt;0)*(AH842&lt;&gt;"")*(AK842="-")),IF(AG842="X",Übersicht!$C$70,Übersicht!$C$69),"-")</f>
        <v>-</v>
      </c>
      <c r="AA842" s="252" t="str">
        <f>IF((($A842="")*($B842=""))+((MID($Y842,1,4)&lt;&gt;"Wahl")*(Deckblatt!$C$14='WK-Vorlagen'!$C$82))+(Deckblatt!$C$14&lt;&gt;'WK-Vorlagen'!$C$82),"",IF(ISERROR(MATCH(VALUE(MID(G842,1,2)),Schwierigkeitsstufen!$G$7:$G$19,0)),"Gerät falsch",LOOKUP(VALUE(MID(G842,1,2)),Schwierigkeitsstufen!$G$7:$G$19,Schwierigkeitsstufen!$H$7:$H$19)))</f>
        <v/>
      </c>
      <c r="AB842" s="250" t="str">
        <f>IF((($A842="")*($B842=""))+((MID($Y842,1,4)&lt;&gt;"Wahl")*(Deckblatt!$C$14='WK-Vorlagen'!$C$82))+(Deckblatt!$C$14&lt;&gt;'WK-Vorlagen'!$C$82),"",IF(ISERROR(MATCH(VALUE(MID(H842,1,2)),Schwierigkeitsstufen!$G$7:$G$19,0)),"Gerät falsch",LOOKUP(VALUE(MID(H842,1,2)),Schwierigkeitsstufen!$G$7:$G$19,Schwierigkeitsstufen!$H$7:$H$19)))</f>
        <v/>
      </c>
      <c r="AC842" s="250" t="str">
        <f>IF((($A842="")*($B842=""))+((MID($Y842,1,4)&lt;&gt;"Wahl")*(Deckblatt!$C$14='WK-Vorlagen'!$C$82))+(Deckblatt!$C$14&lt;&gt;'WK-Vorlagen'!$C$82),"",IF(ISERROR(MATCH(VALUE(MID(I842,1,2)),Schwierigkeitsstufen!$G$7:$G$19,0)),"Gerät falsch",LOOKUP(VALUE(MID(I842,1,2)),Schwierigkeitsstufen!$G$7:$G$19,Schwierigkeitsstufen!$H$7:$H$19)))</f>
        <v/>
      </c>
      <c r="AD842" s="251" t="str">
        <f>IF((($A842="")*($B842=""))+((MID($Y842,1,4)&lt;&gt;"Wahl")*(Deckblatt!$C$14='WK-Vorlagen'!$C$82))+(Deckblatt!$C$14&lt;&gt;'WK-Vorlagen'!$C$82),"",IF(ISERROR(MATCH(VALUE(MID(J842,1,2)),Schwierigkeitsstufen!$G$7:$G$19,0)),"Gerät falsch",LOOKUP(VALUE(MID(J842,1,2)),Schwierigkeitsstufen!$G$7:$G$19,Schwierigkeitsstufen!$H$7:$H$19)))</f>
        <v/>
      </c>
      <c r="AE842" s="211"/>
      <c r="AG842" s="221" t="str">
        <f t="shared" si="117"/>
        <v/>
      </c>
      <c r="AH842" s="222" t="str">
        <f t="shared" si="119"/>
        <v/>
      </c>
      <c r="AI842" s="220">
        <f t="shared" si="124"/>
        <v>4</v>
      </c>
      <c r="AJ842" s="222">
        <f t="shared" si="120"/>
        <v>0</v>
      </c>
      <c r="AK842" s="299" t="str">
        <f>IF(ISERROR(LOOKUP(E842,WKNrListe,Übersicht!$R$7:$R$46)),"-",LOOKUP(E842,WKNrListe,Übersicht!$R$7:$R$46))</f>
        <v>-</v>
      </c>
      <c r="AL842" s="299" t="str">
        <f t="shared" si="123"/>
        <v>-</v>
      </c>
      <c r="AM842" s="303"/>
      <c r="AN842" s="174" t="str">
        <f t="shared" si="116"/>
        <v>Leer</v>
      </c>
    </row>
    <row r="843" spans="1:40" s="174" customFormat="1" ht="15" customHeight="1">
      <c r="A843" s="63"/>
      <c r="B843" s="63"/>
      <c r="C843" s="84"/>
      <c r="D843" s="85"/>
      <c r="E843" s="62"/>
      <c r="F843" s="62"/>
      <c r="G843" s="62"/>
      <c r="H843" s="62"/>
      <c r="I843" s="62"/>
      <c r="J843" s="62"/>
      <c r="K843" s="62"/>
      <c r="L843" s="62"/>
      <c r="M843" s="62"/>
      <c r="N843" s="62"/>
      <c r="O843" s="62"/>
      <c r="P843" s="62"/>
      <c r="Q843" s="62"/>
      <c r="R843" s="62"/>
      <c r="S843" s="258"/>
      <c r="T843" s="248" t="str">
        <f t="shared" si="121"/>
        <v/>
      </c>
      <c r="U843" s="249" t="str">
        <f t="shared" si="122"/>
        <v/>
      </c>
      <c r="V843" s="294" t="str">
        <f t="shared" si="118"/>
        <v/>
      </c>
      <c r="W843" s="294" t="str">
        <f>IF(((E843="")+(F843="")),"",IF(VLOOKUP(F843,Mannschaften!$A$1:$B$54,2,FALSE)&lt;&gt;E843,"Reiter Mannschaften füllen",""))</f>
        <v/>
      </c>
      <c r="X843" s="248" t="str">
        <f>IF(ISBLANK(C843),"",IF((U843&gt;(LOOKUP(E843,WKNrListe,Übersicht!$O$7:$O$46)))+(U843&lt;(LOOKUP(E843,WKNrListe,Übersicht!$P$7:$P$46))),"JG falsch",""))</f>
        <v/>
      </c>
      <c r="Y843" s="255" t="str">
        <f>IF((A843="")*(B843=""),"",IF(ISERROR(MATCH(E843,WKNrListe,0)),"WK falsch",LOOKUP(E843,WKNrListe,Übersicht!$B$7:$B$46)))</f>
        <v/>
      </c>
      <c r="Z843" s="269" t="str">
        <f>IF(((AJ843=0)*(AH843&lt;&gt;"")*(AK843="-"))+((AJ843&lt;&gt;0)*(AH843&lt;&gt;"")*(AK843="-")),IF(AG843="X",Übersicht!$C$70,Übersicht!$C$69),"-")</f>
        <v>-</v>
      </c>
      <c r="AA843" s="252" t="str">
        <f>IF((($A843="")*($B843=""))+((MID($Y843,1,4)&lt;&gt;"Wahl")*(Deckblatt!$C$14='WK-Vorlagen'!$C$82))+(Deckblatt!$C$14&lt;&gt;'WK-Vorlagen'!$C$82),"",IF(ISERROR(MATCH(VALUE(MID(G843,1,2)),Schwierigkeitsstufen!$G$7:$G$19,0)),"Gerät falsch",LOOKUP(VALUE(MID(G843,1,2)),Schwierigkeitsstufen!$G$7:$G$19,Schwierigkeitsstufen!$H$7:$H$19)))</f>
        <v/>
      </c>
      <c r="AB843" s="250" t="str">
        <f>IF((($A843="")*($B843=""))+((MID($Y843,1,4)&lt;&gt;"Wahl")*(Deckblatt!$C$14='WK-Vorlagen'!$C$82))+(Deckblatt!$C$14&lt;&gt;'WK-Vorlagen'!$C$82),"",IF(ISERROR(MATCH(VALUE(MID(H843,1,2)),Schwierigkeitsstufen!$G$7:$G$19,0)),"Gerät falsch",LOOKUP(VALUE(MID(H843,1,2)),Schwierigkeitsstufen!$G$7:$G$19,Schwierigkeitsstufen!$H$7:$H$19)))</f>
        <v/>
      </c>
      <c r="AC843" s="250" t="str">
        <f>IF((($A843="")*($B843=""))+((MID($Y843,1,4)&lt;&gt;"Wahl")*(Deckblatt!$C$14='WK-Vorlagen'!$C$82))+(Deckblatt!$C$14&lt;&gt;'WK-Vorlagen'!$C$82),"",IF(ISERROR(MATCH(VALUE(MID(I843,1,2)),Schwierigkeitsstufen!$G$7:$G$19,0)),"Gerät falsch",LOOKUP(VALUE(MID(I843,1,2)),Schwierigkeitsstufen!$G$7:$G$19,Schwierigkeitsstufen!$H$7:$H$19)))</f>
        <v/>
      </c>
      <c r="AD843" s="251" t="str">
        <f>IF((($A843="")*($B843=""))+((MID($Y843,1,4)&lt;&gt;"Wahl")*(Deckblatt!$C$14='WK-Vorlagen'!$C$82))+(Deckblatt!$C$14&lt;&gt;'WK-Vorlagen'!$C$82),"",IF(ISERROR(MATCH(VALUE(MID(J843,1,2)),Schwierigkeitsstufen!$G$7:$G$19,0)),"Gerät falsch",LOOKUP(VALUE(MID(J843,1,2)),Schwierigkeitsstufen!$G$7:$G$19,Schwierigkeitsstufen!$H$7:$H$19)))</f>
        <v/>
      </c>
      <c r="AE843" s="211"/>
      <c r="AG843" s="221" t="str">
        <f t="shared" si="117"/>
        <v/>
      </c>
      <c r="AH843" s="222" t="str">
        <f t="shared" si="119"/>
        <v/>
      </c>
      <c r="AI843" s="220">
        <f t="shared" si="124"/>
        <v>4</v>
      </c>
      <c r="AJ843" s="222">
        <f t="shared" si="120"/>
        <v>0</v>
      </c>
      <c r="AK843" s="299" t="str">
        <f>IF(ISERROR(LOOKUP(E843,WKNrListe,Übersicht!$R$7:$R$46)),"-",LOOKUP(E843,WKNrListe,Übersicht!$R$7:$R$46))</f>
        <v>-</v>
      </c>
      <c r="AL843" s="299" t="str">
        <f t="shared" si="123"/>
        <v>-</v>
      </c>
      <c r="AM843" s="303"/>
      <c r="AN843" s="174" t="str">
        <f t="shared" si="116"/>
        <v>Leer</v>
      </c>
    </row>
    <row r="844" spans="1:40" s="174" customFormat="1" ht="15" customHeight="1">
      <c r="A844" s="63"/>
      <c r="B844" s="63"/>
      <c r="C844" s="84"/>
      <c r="D844" s="85"/>
      <c r="E844" s="62"/>
      <c r="F844" s="62"/>
      <c r="G844" s="62"/>
      <c r="H844" s="62"/>
      <c r="I844" s="62"/>
      <c r="J844" s="62"/>
      <c r="K844" s="62"/>
      <c r="L844" s="62"/>
      <c r="M844" s="62"/>
      <c r="N844" s="62"/>
      <c r="O844" s="62"/>
      <c r="P844" s="62"/>
      <c r="Q844" s="62"/>
      <c r="R844" s="62"/>
      <c r="S844" s="258"/>
      <c r="T844" s="248" t="str">
        <f t="shared" si="121"/>
        <v/>
      </c>
      <c r="U844" s="249" t="str">
        <f t="shared" si="122"/>
        <v/>
      </c>
      <c r="V844" s="294" t="str">
        <f t="shared" si="118"/>
        <v/>
      </c>
      <c r="W844" s="294" t="str">
        <f>IF(((E844="")+(F844="")),"",IF(VLOOKUP(F844,Mannschaften!$A$1:$B$54,2,FALSE)&lt;&gt;E844,"Reiter Mannschaften füllen",""))</f>
        <v/>
      </c>
      <c r="X844" s="248" t="str">
        <f>IF(ISBLANK(C844),"",IF((U844&gt;(LOOKUP(E844,WKNrListe,Übersicht!$O$7:$O$46)))+(U844&lt;(LOOKUP(E844,WKNrListe,Übersicht!$P$7:$P$46))),"JG falsch",""))</f>
        <v/>
      </c>
      <c r="Y844" s="255" t="str">
        <f>IF((A844="")*(B844=""),"",IF(ISERROR(MATCH(E844,WKNrListe,0)),"WK falsch",LOOKUP(E844,WKNrListe,Übersicht!$B$7:$B$46)))</f>
        <v/>
      </c>
      <c r="Z844" s="269" t="str">
        <f>IF(((AJ844=0)*(AH844&lt;&gt;"")*(AK844="-"))+((AJ844&lt;&gt;0)*(AH844&lt;&gt;"")*(AK844="-")),IF(AG844="X",Übersicht!$C$70,Übersicht!$C$69),"-")</f>
        <v>-</v>
      </c>
      <c r="AA844" s="252" t="str">
        <f>IF((($A844="")*($B844=""))+((MID($Y844,1,4)&lt;&gt;"Wahl")*(Deckblatt!$C$14='WK-Vorlagen'!$C$82))+(Deckblatt!$C$14&lt;&gt;'WK-Vorlagen'!$C$82),"",IF(ISERROR(MATCH(VALUE(MID(G844,1,2)),Schwierigkeitsstufen!$G$7:$G$19,0)),"Gerät falsch",LOOKUP(VALUE(MID(G844,1,2)),Schwierigkeitsstufen!$G$7:$G$19,Schwierigkeitsstufen!$H$7:$H$19)))</f>
        <v/>
      </c>
      <c r="AB844" s="250" t="str">
        <f>IF((($A844="")*($B844=""))+((MID($Y844,1,4)&lt;&gt;"Wahl")*(Deckblatt!$C$14='WK-Vorlagen'!$C$82))+(Deckblatt!$C$14&lt;&gt;'WK-Vorlagen'!$C$82),"",IF(ISERROR(MATCH(VALUE(MID(H844,1,2)),Schwierigkeitsstufen!$G$7:$G$19,0)),"Gerät falsch",LOOKUP(VALUE(MID(H844,1,2)),Schwierigkeitsstufen!$G$7:$G$19,Schwierigkeitsstufen!$H$7:$H$19)))</f>
        <v/>
      </c>
      <c r="AC844" s="250" t="str">
        <f>IF((($A844="")*($B844=""))+((MID($Y844,1,4)&lt;&gt;"Wahl")*(Deckblatt!$C$14='WK-Vorlagen'!$C$82))+(Deckblatt!$C$14&lt;&gt;'WK-Vorlagen'!$C$82),"",IF(ISERROR(MATCH(VALUE(MID(I844,1,2)),Schwierigkeitsstufen!$G$7:$G$19,0)),"Gerät falsch",LOOKUP(VALUE(MID(I844,1,2)),Schwierigkeitsstufen!$G$7:$G$19,Schwierigkeitsstufen!$H$7:$H$19)))</f>
        <v/>
      </c>
      <c r="AD844" s="251" t="str">
        <f>IF((($A844="")*($B844=""))+((MID($Y844,1,4)&lt;&gt;"Wahl")*(Deckblatt!$C$14='WK-Vorlagen'!$C$82))+(Deckblatt!$C$14&lt;&gt;'WK-Vorlagen'!$C$82),"",IF(ISERROR(MATCH(VALUE(MID(J844,1,2)),Schwierigkeitsstufen!$G$7:$G$19,0)),"Gerät falsch",LOOKUP(VALUE(MID(J844,1,2)),Schwierigkeitsstufen!$G$7:$G$19,Schwierigkeitsstufen!$H$7:$H$19)))</f>
        <v/>
      </c>
      <c r="AE844" s="211"/>
      <c r="AG844" s="221" t="str">
        <f t="shared" si="117"/>
        <v/>
      </c>
      <c r="AH844" s="222" t="str">
        <f t="shared" si="119"/>
        <v/>
      </c>
      <c r="AI844" s="220">
        <f t="shared" si="124"/>
        <v>4</v>
      </c>
      <c r="AJ844" s="222">
        <f t="shared" si="120"/>
        <v>0</v>
      </c>
      <c r="AK844" s="299" t="str">
        <f>IF(ISERROR(LOOKUP(E844,WKNrListe,Übersicht!$R$7:$R$46)),"-",LOOKUP(E844,WKNrListe,Übersicht!$R$7:$R$46))</f>
        <v>-</v>
      </c>
      <c r="AL844" s="299" t="str">
        <f t="shared" si="123"/>
        <v>-</v>
      </c>
      <c r="AM844" s="303"/>
      <c r="AN844" s="174" t="str">
        <f t="shared" si="116"/>
        <v>Leer</v>
      </c>
    </row>
    <row r="845" spans="1:40" s="174" customFormat="1" ht="15" customHeight="1">
      <c r="A845" s="63"/>
      <c r="B845" s="63"/>
      <c r="C845" s="84"/>
      <c r="D845" s="85"/>
      <c r="E845" s="62"/>
      <c r="F845" s="62"/>
      <c r="G845" s="62"/>
      <c r="H845" s="62"/>
      <c r="I845" s="62"/>
      <c r="J845" s="62"/>
      <c r="K845" s="62"/>
      <c r="L845" s="62"/>
      <c r="M845" s="62"/>
      <c r="N845" s="62"/>
      <c r="O845" s="62"/>
      <c r="P845" s="62"/>
      <c r="Q845" s="62"/>
      <c r="R845" s="62"/>
      <c r="S845" s="258"/>
      <c r="T845" s="248" t="str">
        <f t="shared" si="121"/>
        <v/>
      </c>
      <c r="U845" s="249" t="str">
        <f t="shared" si="122"/>
        <v/>
      </c>
      <c r="V845" s="294" t="str">
        <f t="shared" si="118"/>
        <v/>
      </c>
      <c r="W845" s="294" t="str">
        <f>IF(((E845="")+(F845="")),"",IF(VLOOKUP(F845,Mannschaften!$A$1:$B$54,2,FALSE)&lt;&gt;E845,"Reiter Mannschaften füllen",""))</f>
        <v/>
      </c>
      <c r="X845" s="248" t="str">
        <f>IF(ISBLANK(C845),"",IF((U845&gt;(LOOKUP(E845,WKNrListe,Übersicht!$O$7:$O$46)))+(U845&lt;(LOOKUP(E845,WKNrListe,Übersicht!$P$7:$P$46))),"JG falsch",""))</f>
        <v/>
      </c>
      <c r="Y845" s="255" t="str">
        <f>IF((A845="")*(B845=""),"",IF(ISERROR(MATCH(E845,WKNrListe,0)),"WK falsch",LOOKUP(E845,WKNrListe,Übersicht!$B$7:$B$46)))</f>
        <v/>
      </c>
      <c r="Z845" s="269" t="str">
        <f>IF(((AJ845=0)*(AH845&lt;&gt;"")*(AK845="-"))+((AJ845&lt;&gt;0)*(AH845&lt;&gt;"")*(AK845="-")),IF(AG845="X",Übersicht!$C$70,Übersicht!$C$69),"-")</f>
        <v>-</v>
      </c>
      <c r="AA845" s="252" t="str">
        <f>IF((($A845="")*($B845=""))+((MID($Y845,1,4)&lt;&gt;"Wahl")*(Deckblatt!$C$14='WK-Vorlagen'!$C$82))+(Deckblatt!$C$14&lt;&gt;'WK-Vorlagen'!$C$82),"",IF(ISERROR(MATCH(VALUE(MID(G845,1,2)),Schwierigkeitsstufen!$G$7:$G$19,0)),"Gerät falsch",LOOKUP(VALUE(MID(G845,1,2)),Schwierigkeitsstufen!$G$7:$G$19,Schwierigkeitsstufen!$H$7:$H$19)))</f>
        <v/>
      </c>
      <c r="AB845" s="250" t="str">
        <f>IF((($A845="")*($B845=""))+((MID($Y845,1,4)&lt;&gt;"Wahl")*(Deckblatt!$C$14='WK-Vorlagen'!$C$82))+(Deckblatt!$C$14&lt;&gt;'WK-Vorlagen'!$C$82),"",IF(ISERROR(MATCH(VALUE(MID(H845,1,2)),Schwierigkeitsstufen!$G$7:$G$19,0)),"Gerät falsch",LOOKUP(VALUE(MID(H845,1,2)),Schwierigkeitsstufen!$G$7:$G$19,Schwierigkeitsstufen!$H$7:$H$19)))</f>
        <v/>
      </c>
      <c r="AC845" s="250" t="str">
        <f>IF((($A845="")*($B845=""))+((MID($Y845,1,4)&lt;&gt;"Wahl")*(Deckblatt!$C$14='WK-Vorlagen'!$C$82))+(Deckblatt!$C$14&lt;&gt;'WK-Vorlagen'!$C$82),"",IF(ISERROR(MATCH(VALUE(MID(I845,1,2)),Schwierigkeitsstufen!$G$7:$G$19,0)),"Gerät falsch",LOOKUP(VALUE(MID(I845,1,2)),Schwierigkeitsstufen!$G$7:$G$19,Schwierigkeitsstufen!$H$7:$H$19)))</f>
        <v/>
      </c>
      <c r="AD845" s="251" t="str">
        <f>IF((($A845="")*($B845=""))+((MID($Y845,1,4)&lt;&gt;"Wahl")*(Deckblatt!$C$14='WK-Vorlagen'!$C$82))+(Deckblatt!$C$14&lt;&gt;'WK-Vorlagen'!$C$82),"",IF(ISERROR(MATCH(VALUE(MID(J845,1,2)),Schwierigkeitsstufen!$G$7:$G$19,0)),"Gerät falsch",LOOKUP(VALUE(MID(J845,1,2)),Schwierigkeitsstufen!$G$7:$G$19,Schwierigkeitsstufen!$H$7:$H$19)))</f>
        <v/>
      </c>
      <c r="AE845" s="211"/>
      <c r="AG845" s="221" t="str">
        <f t="shared" si="117"/>
        <v/>
      </c>
      <c r="AH845" s="222" t="str">
        <f t="shared" si="119"/>
        <v/>
      </c>
      <c r="AI845" s="220">
        <f t="shared" si="124"/>
        <v>4</v>
      </c>
      <c r="AJ845" s="222">
        <f t="shared" si="120"/>
        <v>0</v>
      </c>
      <c r="AK845" s="299" t="str">
        <f>IF(ISERROR(LOOKUP(E845,WKNrListe,Übersicht!$R$7:$R$46)),"-",LOOKUP(E845,WKNrListe,Übersicht!$R$7:$R$46))</f>
        <v>-</v>
      </c>
      <c r="AL845" s="299" t="str">
        <f t="shared" si="123"/>
        <v>-</v>
      </c>
      <c r="AM845" s="303"/>
      <c r="AN845" s="174" t="str">
        <f t="shared" si="116"/>
        <v>Leer</v>
      </c>
    </row>
    <row r="846" spans="1:40" s="174" customFormat="1" ht="15" customHeight="1">
      <c r="A846" s="63"/>
      <c r="B846" s="63"/>
      <c r="C846" s="84"/>
      <c r="D846" s="85"/>
      <c r="E846" s="62"/>
      <c r="F846" s="62"/>
      <c r="G846" s="62"/>
      <c r="H846" s="62"/>
      <c r="I846" s="62"/>
      <c r="J846" s="62"/>
      <c r="K846" s="62"/>
      <c r="L846" s="62"/>
      <c r="M846" s="62"/>
      <c r="N846" s="62"/>
      <c r="O846" s="62"/>
      <c r="P846" s="62"/>
      <c r="Q846" s="62"/>
      <c r="R846" s="62"/>
      <c r="S846" s="258"/>
      <c r="T846" s="248" t="str">
        <f t="shared" si="121"/>
        <v/>
      </c>
      <c r="U846" s="249" t="str">
        <f t="shared" si="122"/>
        <v/>
      </c>
      <c r="V846" s="294" t="str">
        <f t="shared" si="118"/>
        <v/>
      </c>
      <c r="W846" s="294" t="str">
        <f>IF(((E846="")+(F846="")),"",IF(VLOOKUP(F846,Mannschaften!$A$1:$B$54,2,FALSE)&lt;&gt;E846,"Reiter Mannschaften füllen",""))</f>
        <v/>
      </c>
      <c r="X846" s="248" t="str">
        <f>IF(ISBLANK(C846),"",IF((U846&gt;(LOOKUP(E846,WKNrListe,Übersicht!$O$7:$O$46)))+(U846&lt;(LOOKUP(E846,WKNrListe,Übersicht!$P$7:$P$46))),"JG falsch",""))</f>
        <v/>
      </c>
      <c r="Y846" s="255" t="str">
        <f>IF((A846="")*(B846=""),"",IF(ISERROR(MATCH(E846,WKNrListe,0)),"WK falsch",LOOKUP(E846,WKNrListe,Übersicht!$B$7:$B$46)))</f>
        <v/>
      </c>
      <c r="Z846" s="269" t="str">
        <f>IF(((AJ846=0)*(AH846&lt;&gt;"")*(AK846="-"))+((AJ846&lt;&gt;0)*(AH846&lt;&gt;"")*(AK846="-")),IF(AG846="X",Übersicht!$C$70,Übersicht!$C$69),"-")</f>
        <v>-</v>
      </c>
      <c r="AA846" s="252" t="str">
        <f>IF((($A846="")*($B846=""))+((MID($Y846,1,4)&lt;&gt;"Wahl")*(Deckblatt!$C$14='WK-Vorlagen'!$C$82))+(Deckblatt!$C$14&lt;&gt;'WK-Vorlagen'!$C$82),"",IF(ISERROR(MATCH(VALUE(MID(G846,1,2)),Schwierigkeitsstufen!$G$7:$G$19,0)),"Gerät falsch",LOOKUP(VALUE(MID(G846,1,2)),Schwierigkeitsstufen!$G$7:$G$19,Schwierigkeitsstufen!$H$7:$H$19)))</f>
        <v/>
      </c>
      <c r="AB846" s="250" t="str">
        <f>IF((($A846="")*($B846=""))+((MID($Y846,1,4)&lt;&gt;"Wahl")*(Deckblatt!$C$14='WK-Vorlagen'!$C$82))+(Deckblatt!$C$14&lt;&gt;'WK-Vorlagen'!$C$82),"",IF(ISERROR(MATCH(VALUE(MID(H846,1,2)),Schwierigkeitsstufen!$G$7:$G$19,0)),"Gerät falsch",LOOKUP(VALUE(MID(H846,1,2)),Schwierigkeitsstufen!$G$7:$G$19,Schwierigkeitsstufen!$H$7:$H$19)))</f>
        <v/>
      </c>
      <c r="AC846" s="250" t="str">
        <f>IF((($A846="")*($B846=""))+((MID($Y846,1,4)&lt;&gt;"Wahl")*(Deckblatt!$C$14='WK-Vorlagen'!$C$82))+(Deckblatt!$C$14&lt;&gt;'WK-Vorlagen'!$C$82),"",IF(ISERROR(MATCH(VALUE(MID(I846,1,2)),Schwierigkeitsstufen!$G$7:$G$19,0)),"Gerät falsch",LOOKUP(VALUE(MID(I846,1,2)),Schwierigkeitsstufen!$G$7:$G$19,Schwierigkeitsstufen!$H$7:$H$19)))</f>
        <v/>
      </c>
      <c r="AD846" s="251" t="str">
        <f>IF((($A846="")*($B846=""))+((MID($Y846,1,4)&lt;&gt;"Wahl")*(Deckblatt!$C$14='WK-Vorlagen'!$C$82))+(Deckblatt!$C$14&lt;&gt;'WK-Vorlagen'!$C$82),"",IF(ISERROR(MATCH(VALUE(MID(J846,1,2)),Schwierigkeitsstufen!$G$7:$G$19,0)),"Gerät falsch",LOOKUP(VALUE(MID(J846,1,2)),Schwierigkeitsstufen!$G$7:$G$19,Schwierigkeitsstufen!$H$7:$H$19)))</f>
        <v/>
      </c>
      <c r="AE846" s="211"/>
      <c r="AG846" s="221" t="str">
        <f t="shared" si="117"/>
        <v/>
      </c>
      <c r="AH846" s="222" t="str">
        <f t="shared" si="119"/>
        <v/>
      </c>
      <c r="AI846" s="220">
        <f t="shared" si="124"/>
        <v>4</v>
      </c>
      <c r="AJ846" s="222">
        <f t="shared" si="120"/>
        <v>0</v>
      </c>
      <c r="AK846" s="299" t="str">
        <f>IF(ISERROR(LOOKUP(E846,WKNrListe,Übersicht!$R$7:$R$46)),"-",LOOKUP(E846,WKNrListe,Übersicht!$R$7:$R$46))</f>
        <v>-</v>
      </c>
      <c r="AL846" s="299" t="str">
        <f t="shared" si="123"/>
        <v>-</v>
      </c>
      <c r="AM846" s="303"/>
      <c r="AN846" s="174" t="str">
        <f t="shared" si="116"/>
        <v>Leer</v>
      </c>
    </row>
    <row r="847" spans="1:40" s="174" customFormat="1" ht="15" customHeight="1">
      <c r="A847" s="63"/>
      <c r="B847" s="63"/>
      <c r="C847" s="84"/>
      <c r="D847" s="85"/>
      <c r="E847" s="62"/>
      <c r="F847" s="62"/>
      <c r="G847" s="62"/>
      <c r="H847" s="62"/>
      <c r="I847" s="62"/>
      <c r="J847" s="62"/>
      <c r="K847" s="62"/>
      <c r="L847" s="62"/>
      <c r="M847" s="62"/>
      <c r="N847" s="62"/>
      <c r="O847" s="62"/>
      <c r="P847" s="62"/>
      <c r="Q847" s="62"/>
      <c r="R847" s="62"/>
      <c r="S847" s="258"/>
      <c r="T847" s="248" t="str">
        <f t="shared" si="121"/>
        <v/>
      </c>
      <c r="U847" s="249" t="str">
        <f t="shared" si="122"/>
        <v/>
      </c>
      <c r="V847" s="294" t="str">
        <f t="shared" si="118"/>
        <v/>
      </c>
      <c r="W847" s="294" t="str">
        <f>IF(((E847="")+(F847="")),"",IF(VLOOKUP(F847,Mannschaften!$A$1:$B$54,2,FALSE)&lt;&gt;E847,"Reiter Mannschaften füllen",""))</f>
        <v/>
      </c>
      <c r="X847" s="248" t="str">
        <f>IF(ISBLANK(C847),"",IF((U847&gt;(LOOKUP(E847,WKNrListe,Übersicht!$O$7:$O$46)))+(U847&lt;(LOOKUP(E847,WKNrListe,Übersicht!$P$7:$P$46))),"JG falsch",""))</f>
        <v/>
      </c>
      <c r="Y847" s="255" t="str">
        <f>IF((A847="")*(B847=""),"",IF(ISERROR(MATCH(E847,WKNrListe,0)),"WK falsch",LOOKUP(E847,WKNrListe,Übersicht!$B$7:$B$46)))</f>
        <v/>
      </c>
      <c r="Z847" s="269" t="str">
        <f>IF(((AJ847=0)*(AH847&lt;&gt;"")*(AK847="-"))+((AJ847&lt;&gt;0)*(AH847&lt;&gt;"")*(AK847="-")),IF(AG847="X",Übersicht!$C$70,Übersicht!$C$69),"-")</f>
        <v>-</v>
      </c>
      <c r="AA847" s="252" t="str">
        <f>IF((($A847="")*($B847=""))+((MID($Y847,1,4)&lt;&gt;"Wahl")*(Deckblatt!$C$14='WK-Vorlagen'!$C$82))+(Deckblatt!$C$14&lt;&gt;'WK-Vorlagen'!$C$82),"",IF(ISERROR(MATCH(VALUE(MID(G847,1,2)),Schwierigkeitsstufen!$G$7:$G$19,0)),"Gerät falsch",LOOKUP(VALUE(MID(G847,1,2)),Schwierigkeitsstufen!$G$7:$G$19,Schwierigkeitsstufen!$H$7:$H$19)))</f>
        <v/>
      </c>
      <c r="AB847" s="250" t="str">
        <f>IF((($A847="")*($B847=""))+((MID($Y847,1,4)&lt;&gt;"Wahl")*(Deckblatt!$C$14='WK-Vorlagen'!$C$82))+(Deckblatt!$C$14&lt;&gt;'WK-Vorlagen'!$C$82),"",IF(ISERROR(MATCH(VALUE(MID(H847,1,2)),Schwierigkeitsstufen!$G$7:$G$19,0)),"Gerät falsch",LOOKUP(VALUE(MID(H847,1,2)),Schwierigkeitsstufen!$G$7:$G$19,Schwierigkeitsstufen!$H$7:$H$19)))</f>
        <v/>
      </c>
      <c r="AC847" s="250" t="str">
        <f>IF((($A847="")*($B847=""))+((MID($Y847,1,4)&lt;&gt;"Wahl")*(Deckblatt!$C$14='WK-Vorlagen'!$C$82))+(Deckblatt!$C$14&lt;&gt;'WK-Vorlagen'!$C$82),"",IF(ISERROR(MATCH(VALUE(MID(I847,1,2)),Schwierigkeitsstufen!$G$7:$G$19,0)),"Gerät falsch",LOOKUP(VALUE(MID(I847,1,2)),Schwierigkeitsstufen!$G$7:$G$19,Schwierigkeitsstufen!$H$7:$H$19)))</f>
        <v/>
      </c>
      <c r="AD847" s="251" t="str">
        <f>IF((($A847="")*($B847=""))+((MID($Y847,1,4)&lt;&gt;"Wahl")*(Deckblatt!$C$14='WK-Vorlagen'!$C$82))+(Deckblatt!$C$14&lt;&gt;'WK-Vorlagen'!$C$82),"",IF(ISERROR(MATCH(VALUE(MID(J847,1,2)),Schwierigkeitsstufen!$G$7:$G$19,0)),"Gerät falsch",LOOKUP(VALUE(MID(J847,1,2)),Schwierigkeitsstufen!$G$7:$G$19,Schwierigkeitsstufen!$H$7:$H$19)))</f>
        <v/>
      </c>
      <c r="AE847" s="211"/>
      <c r="AG847" s="221" t="str">
        <f t="shared" si="117"/>
        <v/>
      </c>
      <c r="AH847" s="222" t="str">
        <f t="shared" si="119"/>
        <v/>
      </c>
      <c r="AI847" s="220">
        <f t="shared" si="124"/>
        <v>4</v>
      </c>
      <c r="AJ847" s="222">
        <f t="shared" si="120"/>
        <v>0</v>
      </c>
      <c r="AK847" s="299" t="str">
        <f>IF(ISERROR(LOOKUP(E847,WKNrListe,Übersicht!$R$7:$R$46)),"-",LOOKUP(E847,WKNrListe,Übersicht!$R$7:$R$46))</f>
        <v>-</v>
      </c>
      <c r="AL847" s="299" t="str">
        <f t="shared" si="123"/>
        <v>-</v>
      </c>
      <c r="AM847" s="303"/>
      <c r="AN847" s="174" t="str">
        <f t="shared" si="116"/>
        <v>Leer</v>
      </c>
    </row>
    <row r="848" spans="1:40" s="174" customFormat="1" ht="15" customHeight="1">
      <c r="A848" s="63"/>
      <c r="B848" s="63"/>
      <c r="C848" s="84"/>
      <c r="D848" s="85"/>
      <c r="E848" s="62"/>
      <c r="F848" s="62"/>
      <c r="G848" s="62"/>
      <c r="H848" s="62"/>
      <c r="I848" s="62"/>
      <c r="J848" s="62"/>
      <c r="K848" s="62"/>
      <c r="L848" s="62"/>
      <c r="M848" s="62"/>
      <c r="N848" s="62"/>
      <c r="O848" s="62"/>
      <c r="P848" s="62"/>
      <c r="Q848" s="62"/>
      <c r="R848" s="62"/>
      <c r="S848" s="258"/>
      <c r="T848" s="248" t="str">
        <f t="shared" si="121"/>
        <v/>
      </c>
      <c r="U848" s="249" t="str">
        <f t="shared" si="122"/>
        <v/>
      </c>
      <c r="V848" s="294" t="str">
        <f t="shared" si="118"/>
        <v/>
      </c>
      <c r="W848" s="294" t="str">
        <f>IF(((E848="")+(F848="")),"",IF(VLOOKUP(F848,Mannschaften!$A$1:$B$54,2,FALSE)&lt;&gt;E848,"Reiter Mannschaften füllen",""))</f>
        <v/>
      </c>
      <c r="X848" s="248" t="str">
        <f>IF(ISBLANK(C848),"",IF((U848&gt;(LOOKUP(E848,WKNrListe,Übersicht!$O$7:$O$46)))+(U848&lt;(LOOKUP(E848,WKNrListe,Übersicht!$P$7:$P$46))),"JG falsch",""))</f>
        <v/>
      </c>
      <c r="Y848" s="255" t="str">
        <f>IF((A848="")*(B848=""),"",IF(ISERROR(MATCH(E848,WKNrListe,0)),"WK falsch",LOOKUP(E848,WKNrListe,Übersicht!$B$7:$B$46)))</f>
        <v/>
      </c>
      <c r="Z848" s="269" t="str">
        <f>IF(((AJ848=0)*(AH848&lt;&gt;"")*(AK848="-"))+((AJ848&lt;&gt;0)*(AH848&lt;&gt;"")*(AK848="-")),IF(AG848="X",Übersicht!$C$70,Übersicht!$C$69),"-")</f>
        <v>-</v>
      </c>
      <c r="AA848" s="252" t="str">
        <f>IF((($A848="")*($B848=""))+((MID($Y848,1,4)&lt;&gt;"Wahl")*(Deckblatt!$C$14='WK-Vorlagen'!$C$82))+(Deckblatt!$C$14&lt;&gt;'WK-Vorlagen'!$C$82),"",IF(ISERROR(MATCH(VALUE(MID(G848,1,2)),Schwierigkeitsstufen!$G$7:$G$19,0)),"Gerät falsch",LOOKUP(VALUE(MID(G848,1,2)),Schwierigkeitsstufen!$G$7:$G$19,Schwierigkeitsstufen!$H$7:$H$19)))</f>
        <v/>
      </c>
      <c r="AB848" s="250" t="str">
        <f>IF((($A848="")*($B848=""))+((MID($Y848,1,4)&lt;&gt;"Wahl")*(Deckblatt!$C$14='WK-Vorlagen'!$C$82))+(Deckblatt!$C$14&lt;&gt;'WK-Vorlagen'!$C$82),"",IF(ISERROR(MATCH(VALUE(MID(H848,1,2)),Schwierigkeitsstufen!$G$7:$G$19,0)),"Gerät falsch",LOOKUP(VALUE(MID(H848,1,2)),Schwierigkeitsstufen!$G$7:$G$19,Schwierigkeitsstufen!$H$7:$H$19)))</f>
        <v/>
      </c>
      <c r="AC848" s="250" t="str">
        <f>IF((($A848="")*($B848=""))+((MID($Y848,1,4)&lt;&gt;"Wahl")*(Deckblatt!$C$14='WK-Vorlagen'!$C$82))+(Deckblatt!$C$14&lt;&gt;'WK-Vorlagen'!$C$82),"",IF(ISERROR(MATCH(VALUE(MID(I848,1,2)),Schwierigkeitsstufen!$G$7:$G$19,0)),"Gerät falsch",LOOKUP(VALUE(MID(I848,1,2)),Schwierigkeitsstufen!$G$7:$G$19,Schwierigkeitsstufen!$H$7:$H$19)))</f>
        <v/>
      </c>
      <c r="AD848" s="251" t="str">
        <f>IF((($A848="")*($B848=""))+((MID($Y848,1,4)&lt;&gt;"Wahl")*(Deckblatt!$C$14='WK-Vorlagen'!$C$82))+(Deckblatt!$C$14&lt;&gt;'WK-Vorlagen'!$C$82),"",IF(ISERROR(MATCH(VALUE(MID(J848,1,2)),Schwierigkeitsstufen!$G$7:$G$19,0)),"Gerät falsch",LOOKUP(VALUE(MID(J848,1,2)),Schwierigkeitsstufen!$G$7:$G$19,Schwierigkeitsstufen!$H$7:$H$19)))</f>
        <v/>
      </c>
      <c r="AE848" s="211"/>
      <c r="AG848" s="221" t="str">
        <f t="shared" si="117"/>
        <v/>
      </c>
      <c r="AH848" s="222" t="str">
        <f t="shared" si="119"/>
        <v/>
      </c>
      <c r="AI848" s="220">
        <f t="shared" si="124"/>
        <v>4</v>
      </c>
      <c r="AJ848" s="222">
        <f t="shared" si="120"/>
        <v>0</v>
      </c>
      <c r="AK848" s="299" t="str">
        <f>IF(ISERROR(LOOKUP(E848,WKNrListe,Übersicht!$R$7:$R$46)),"-",LOOKUP(E848,WKNrListe,Übersicht!$R$7:$R$46))</f>
        <v>-</v>
      </c>
      <c r="AL848" s="299" t="str">
        <f t="shared" si="123"/>
        <v>-</v>
      </c>
      <c r="AM848" s="303"/>
      <c r="AN848" s="174" t="str">
        <f t="shared" si="116"/>
        <v>Leer</v>
      </c>
    </row>
    <row r="849" spans="1:40" s="174" customFormat="1" ht="15" customHeight="1">
      <c r="A849" s="63"/>
      <c r="B849" s="63"/>
      <c r="C849" s="84"/>
      <c r="D849" s="85"/>
      <c r="E849" s="62"/>
      <c r="F849" s="62"/>
      <c r="G849" s="62"/>
      <c r="H849" s="62"/>
      <c r="I849" s="62"/>
      <c r="J849" s="62"/>
      <c r="K849" s="62"/>
      <c r="L849" s="62"/>
      <c r="M849" s="62"/>
      <c r="N849" s="62"/>
      <c r="O849" s="62"/>
      <c r="P849" s="62"/>
      <c r="Q849" s="62"/>
      <c r="R849" s="62"/>
      <c r="S849" s="258"/>
      <c r="T849" s="248" t="str">
        <f t="shared" si="121"/>
        <v/>
      </c>
      <c r="U849" s="249" t="str">
        <f t="shared" si="122"/>
        <v/>
      </c>
      <c r="V849" s="294" t="str">
        <f t="shared" si="118"/>
        <v/>
      </c>
      <c r="W849" s="294" t="str">
        <f>IF(((E849="")+(F849="")),"",IF(VLOOKUP(F849,Mannschaften!$A$1:$B$54,2,FALSE)&lt;&gt;E849,"Reiter Mannschaften füllen",""))</f>
        <v/>
      </c>
      <c r="X849" s="248" t="str">
        <f>IF(ISBLANK(C849),"",IF((U849&gt;(LOOKUP(E849,WKNrListe,Übersicht!$O$7:$O$46)))+(U849&lt;(LOOKUP(E849,WKNrListe,Übersicht!$P$7:$P$46))),"JG falsch",""))</f>
        <v/>
      </c>
      <c r="Y849" s="255" t="str">
        <f>IF((A849="")*(B849=""),"",IF(ISERROR(MATCH(E849,WKNrListe,0)),"WK falsch",LOOKUP(E849,WKNrListe,Übersicht!$B$7:$B$46)))</f>
        <v/>
      </c>
      <c r="Z849" s="269" t="str">
        <f>IF(((AJ849=0)*(AH849&lt;&gt;"")*(AK849="-"))+((AJ849&lt;&gt;0)*(AH849&lt;&gt;"")*(AK849="-")),IF(AG849="X",Übersicht!$C$70,Übersicht!$C$69),"-")</f>
        <v>-</v>
      </c>
      <c r="AA849" s="252" t="str">
        <f>IF((($A849="")*($B849=""))+((MID($Y849,1,4)&lt;&gt;"Wahl")*(Deckblatt!$C$14='WK-Vorlagen'!$C$82))+(Deckblatt!$C$14&lt;&gt;'WK-Vorlagen'!$C$82),"",IF(ISERROR(MATCH(VALUE(MID(G849,1,2)),Schwierigkeitsstufen!$G$7:$G$19,0)),"Gerät falsch",LOOKUP(VALUE(MID(G849,1,2)),Schwierigkeitsstufen!$G$7:$G$19,Schwierigkeitsstufen!$H$7:$H$19)))</f>
        <v/>
      </c>
      <c r="AB849" s="250" t="str">
        <f>IF((($A849="")*($B849=""))+((MID($Y849,1,4)&lt;&gt;"Wahl")*(Deckblatt!$C$14='WK-Vorlagen'!$C$82))+(Deckblatt!$C$14&lt;&gt;'WK-Vorlagen'!$C$82),"",IF(ISERROR(MATCH(VALUE(MID(H849,1,2)),Schwierigkeitsstufen!$G$7:$G$19,0)),"Gerät falsch",LOOKUP(VALUE(MID(H849,1,2)),Schwierigkeitsstufen!$G$7:$G$19,Schwierigkeitsstufen!$H$7:$H$19)))</f>
        <v/>
      </c>
      <c r="AC849" s="250" t="str">
        <f>IF((($A849="")*($B849=""))+((MID($Y849,1,4)&lt;&gt;"Wahl")*(Deckblatt!$C$14='WK-Vorlagen'!$C$82))+(Deckblatt!$C$14&lt;&gt;'WK-Vorlagen'!$C$82),"",IF(ISERROR(MATCH(VALUE(MID(I849,1,2)),Schwierigkeitsstufen!$G$7:$G$19,0)),"Gerät falsch",LOOKUP(VALUE(MID(I849,1,2)),Schwierigkeitsstufen!$G$7:$G$19,Schwierigkeitsstufen!$H$7:$H$19)))</f>
        <v/>
      </c>
      <c r="AD849" s="251" t="str">
        <f>IF((($A849="")*($B849=""))+((MID($Y849,1,4)&lt;&gt;"Wahl")*(Deckblatt!$C$14='WK-Vorlagen'!$C$82))+(Deckblatt!$C$14&lt;&gt;'WK-Vorlagen'!$C$82),"",IF(ISERROR(MATCH(VALUE(MID(J849,1,2)),Schwierigkeitsstufen!$G$7:$G$19,0)),"Gerät falsch",LOOKUP(VALUE(MID(J849,1,2)),Schwierigkeitsstufen!$G$7:$G$19,Schwierigkeitsstufen!$H$7:$H$19)))</f>
        <v/>
      </c>
      <c r="AE849" s="211"/>
      <c r="AG849" s="221" t="str">
        <f t="shared" si="117"/>
        <v/>
      </c>
      <c r="AH849" s="222" t="str">
        <f t="shared" si="119"/>
        <v/>
      </c>
      <c r="AI849" s="220">
        <f t="shared" si="124"/>
        <v>4</v>
      </c>
      <c r="AJ849" s="222">
        <f t="shared" si="120"/>
        <v>0</v>
      </c>
      <c r="AK849" s="299" t="str">
        <f>IF(ISERROR(LOOKUP(E849,WKNrListe,Übersicht!$R$7:$R$46)),"-",LOOKUP(E849,WKNrListe,Übersicht!$R$7:$R$46))</f>
        <v>-</v>
      </c>
      <c r="AL849" s="299" t="str">
        <f t="shared" si="123"/>
        <v>-</v>
      </c>
      <c r="AM849" s="303"/>
      <c r="AN849" s="174" t="str">
        <f t="shared" si="116"/>
        <v>Leer</v>
      </c>
    </row>
    <row r="850" spans="1:40" s="174" customFormat="1" ht="15" customHeight="1">
      <c r="A850" s="63"/>
      <c r="B850" s="63"/>
      <c r="C850" s="84"/>
      <c r="D850" s="85"/>
      <c r="E850" s="62"/>
      <c r="F850" s="62"/>
      <c r="G850" s="62"/>
      <c r="H850" s="62"/>
      <c r="I850" s="62"/>
      <c r="J850" s="62"/>
      <c r="K850" s="62"/>
      <c r="L850" s="62"/>
      <c r="M850" s="62"/>
      <c r="N850" s="62"/>
      <c r="O850" s="62"/>
      <c r="P850" s="62"/>
      <c r="Q850" s="62"/>
      <c r="R850" s="62"/>
      <c r="S850" s="258"/>
      <c r="T850" s="248" t="str">
        <f t="shared" si="121"/>
        <v/>
      </c>
      <c r="U850" s="249" t="str">
        <f t="shared" si="122"/>
        <v/>
      </c>
      <c r="V850" s="294" t="str">
        <f t="shared" si="118"/>
        <v/>
      </c>
      <c r="W850" s="294" t="str">
        <f>IF(((E850="")+(F850="")),"",IF(VLOOKUP(F850,Mannschaften!$A$1:$B$54,2,FALSE)&lt;&gt;E850,"Reiter Mannschaften füllen",""))</f>
        <v/>
      </c>
      <c r="X850" s="248" t="str">
        <f>IF(ISBLANK(C850),"",IF((U850&gt;(LOOKUP(E850,WKNrListe,Übersicht!$O$7:$O$46)))+(U850&lt;(LOOKUP(E850,WKNrListe,Übersicht!$P$7:$P$46))),"JG falsch",""))</f>
        <v/>
      </c>
      <c r="Y850" s="255" t="str">
        <f>IF((A850="")*(B850=""),"",IF(ISERROR(MATCH(E850,WKNrListe,0)),"WK falsch",LOOKUP(E850,WKNrListe,Übersicht!$B$7:$B$46)))</f>
        <v/>
      </c>
      <c r="Z850" s="269" t="str">
        <f>IF(((AJ850=0)*(AH850&lt;&gt;"")*(AK850="-"))+((AJ850&lt;&gt;0)*(AH850&lt;&gt;"")*(AK850="-")),IF(AG850="X",Übersicht!$C$70,Übersicht!$C$69),"-")</f>
        <v>-</v>
      </c>
      <c r="AA850" s="252" t="str">
        <f>IF((($A850="")*($B850=""))+((MID($Y850,1,4)&lt;&gt;"Wahl")*(Deckblatt!$C$14='WK-Vorlagen'!$C$82))+(Deckblatt!$C$14&lt;&gt;'WK-Vorlagen'!$C$82),"",IF(ISERROR(MATCH(VALUE(MID(G850,1,2)),Schwierigkeitsstufen!$G$7:$G$19,0)),"Gerät falsch",LOOKUP(VALUE(MID(G850,1,2)),Schwierigkeitsstufen!$G$7:$G$19,Schwierigkeitsstufen!$H$7:$H$19)))</f>
        <v/>
      </c>
      <c r="AB850" s="250" t="str">
        <f>IF((($A850="")*($B850=""))+((MID($Y850,1,4)&lt;&gt;"Wahl")*(Deckblatt!$C$14='WK-Vorlagen'!$C$82))+(Deckblatt!$C$14&lt;&gt;'WK-Vorlagen'!$C$82),"",IF(ISERROR(MATCH(VALUE(MID(H850,1,2)),Schwierigkeitsstufen!$G$7:$G$19,0)),"Gerät falsch",LOOKUP(VALUE(MID(H850,1,2)),Schwierigkeitsstufen!$G$7:$G$19,Schwierigkeitsstufen!$H$7:$H$19)))</f>
        <v/>
      </c>
      <c r="AC850" s="250" t="str">
        <f>IF((($A850="")*($B850=""))+((MID($Y850,1,4)&lt;&gt;"Wahl")*(Deckblatt!$C$14='WK-Vorlagen'!$C$82))+(Deckblatt!$C$14&lt;&gt;'WK-Vorlagen'!$C$82),"",IF(ISERROR(MATCH(VALUE(MID(I850,1,2)),Schwierigkeitsstufen!$G$7:$G$19,0)),"Gerät falsch",LOOKUP(VALUE(MID(I850,1,2)),Schwierigkeitsstufen!$G$7:$G$19,Schwierigkeitsstufen!$H$7:$H$19)))</f>
        <v/>
      </c>
      <c r="AD850" s="251" t="str">
        <f>IF((($A850="")*($B850=""))+((MID($Y850,1,4)&lt;&gt;"Wahl")*(Deckblatt!$C$14='WK-Vorlagen'!$C$82))+(Deckblatt!$C$14&lt;&gt;'WK-Vorlagen'!$C$82),"",IF(ISERROR(MATCH(VALUE(MID(J850,1,2)),Schwierigkeitsstufen!$G$7:$G$19,0)),"Gerät falsch",LOOKUP(VALUE(MID(J850,1,2)),Schwierigkeitsstufen!$G$7:$G$19,Schwierigkeitsstufen!$H$7:$H$19)))</f>
        <v/>
      </c>
      <c r="AE850" s="211"/>
      <c r="AG850" s="221" t="str">
        <f t="shared" si="117"/>
        <v/>
      </c>
      <c r="AH850" s="222" t="str">
        <f t="shared" si="119"/>
        <v/>
      </c>
      <c r="AI850" s="220">
        <f t="shared" si="124"/>
        <v>4</v>
      </c>
      <c r="AJ850" s="222">
        <f t="shared" si="120"/>
        <v>0</v>
      </c>
      <c r="AK850" s="299" t="str">
        <f>IF(ISERROR(LOOKUP(E850,WKNrListe,Übersicht!$R$7:$R$46)),"-",LOOKUP(E850,WKNrListe,Übersicht!$R$7:$R$46))</f>
        <v>-</v>
      </c>
      <c r="AL850" s="299" t="str">
        <f t="shared" si="123"/>
        <v>-</v>
      </c>
      <c r="AM850" s="303"/>
      <c r="AN850" s="174" t="str">
        <f t="shared" si="116"/>
        <v>Leer</v>
      </c>
    </row>
    <row r="851" spans="1:40" s="174" customFormat="1" ht="15" customHeight="1">
      <c r="A851" s="63"/>
      <c r="B851" s="63"/>
      <c r="C851" s="84"/>
      <c r="D851" s="85"/>
      <c r="E851" s="62"/>
      <c r="F851" s="62"/>
      <c r="G851" s="62"/>
      <c r="H851" s="62"/>
      <c r="I851" s="62"/>
      <c r="J851" s="62"/>
      <c r="K851" s="62"/>
      <c r="L851" s="62"/>
      <c r="M851" s="62"/>
      <c r="N851" s="62"/>
      <c r="O851" s="62"/>
      <c r="P851" s="62"/>
      <c r="Q851" s="62"/>
      <c r="R851" s="62"/>
      <c r="S851" s="258"/>
      <c r="T851" s="248" t="str">
        <f t="shared" si="121"/>
        <v/>
      </c>
      <c r="U851" s="249" t="str">
        <f t="shared" si="122"/>
        <v/>
      </c>
      <c r="V851" s="294" t="str">
        <f t="shared" si="118"/>
        <v/>
      </c>
      <c r="W851" s="294" t="str">
        <f>IF(((E851="")+(F851="")),"",IF(VLOOKUP(F851,Mannschaften!$A$1:$B$54,2,FALSE)&lt;&gt;E851,"Reiter Mannschaften füllen",""))</f>
        <v/>
      </c>
      <c r="X851" s="248" t="str">
        <f>IF(ISBLANK(C851),"",IF((U851&gt;(LOOKUP(E851,WKNrListe,Übersicht!$O$7:$O$46)))+(U851&lt;(LOOKUP(E851,WKNrListe,Übersicht!$P$7:$P$46))),"JG falsch",""))</f>
        <v/>
      </c>
      <c r="Y851" s="255" t="str">
        <f>IF((A851="")*(B851=""),"",IF(ISERROR(MATCH(E851,WKNrListe,0)),"WK falsch",LOOKUP(E851,WKNrListe,Übersicht!$B$7:$B$46)))</f>
        <v/>
      </c>
      <c r="Z851" s="269" t="str">
        <f>IF(((AJ851=0)*(AH851&lt;&gt;"")*(AK851="-"))+((AJ851&lt;&gt;0)*(AH851&lt;&gt;"")*(AK851="-")),IF(AG851="X",Übersicht!$C$70,Übersicht!$C$69),"-")</f>
        <v>-</v>
      </c>
      <c r="AA851" s="252" t="str">
        <f>IF((($A851="")*($B851=""))+((MID($Y851,1,4)&lt;&gt;"Wahl")*(Deckblatt!$C$14='WK-Vorlagen'!$C$82))+(Deckblatt!$C$14&lt;&gt;'WK-Vorlagen'!$C$82),"",IF(ISERROR(MATCH(VALUE(MID(G851,1,2)),Schwierigkeitsstufen!$G$7:$G$19,0)),"Gerät falsch",LOOKUP(VALUE(MID(G851,1,2)),Schwierigkeitsstufen!$G$7:$G$19,Schwierigkeitsstufen!$H$7:$H$19)))</f>
        <v/>
      </c>
      <c r="AB851" s="250" t="str">
        <f>IF((($A851="")*($B851=""))+((MID($Y851,1,4)&lt;&gt;"Wahl")*(Deckblatt!$C$14='WK-Vorlagen'!$C$82))+(Deckblatt!$C$14&lt;&gt;'WK-Vorlagen'!$C$82),"",IF(ISERROR(MATCH(VALUE(MID(H851,1,2)),Schwierigkeitsstufen!$G$7:$G$19,0)),"Gerät falsch",LOOKUP(VALUE(MID(H851,1,2)),Schwierigkeitsstufen!$G$7:$G$19,Schwierigkeitsstufen!$H$7:$H$19)))</f>
        <v/>
      </c>
      <c r="AC851" s="250" t="str">
        <f>IF((($A851="")*($B851=""))+((MID($Y851,1,4)&lt;&gt;"Wahl")*(Deckblatt!$C$14='WK-Vorlagen'!$C$82))+(Deckblatt!$C$14&lt;&gt;'WK-Vorlagen'!$C$82),"",IF(ISERROR(MATCH(VALUE(MID(I851,1,2)),Schwierigkeitsstufen!$G$7:$G$19,0)),"Gerät falsch",LOOKUP(VALUE(MID(I851,1,2)),Schwierigkeitsstufen!$G$7:$G$19,Schwierigkeitsstufen!$H$7:$H$19)))</f>
        <v/>
      </c>
      <c r="AD851" s="251" t="str">
        <f>IF((($A851="")*($B851=""))+((MID($Y851,1,4)&lt;&gt;"Wahl")*(Deckblatt!$C$14='WK-Vorlagen'!$C$82))+(Deckblatt!$C$14&lt;&gt;'WK-Vorlagen'!$C$82),"",IF(ISERROR(MATCH(VALUE(MID(J851,1,2)),Schwierigkeitsstufen!$G$7:$G$19,0)),"Gerät falsch",LOOKUP(VALUE(MID(J851,1,2)),Schwierigkeitsstufen!$G$7:$G$19,Schwierigkeitsstufen!$H$7:$H$19)))</f>
        <v/>
      </c>
      <c r="AE851" s="211"/>
      <c r="AG851" s="221" t="str">
        <f t="shared" si="117"/>
        <v/>
      </c>
      <c r="AH851" s="222" t="str">
        <f t="shared" si="119"/>
        <v/>
      </c>
      <c r="AI851" s="220">
        <f t="shared" si="124"/>
        <v>4</v>
      </c>
      <c r="AJ851" s="222">
        <f t="shared" si="120"/>
        <v>0</v>
      </c>
      <c r="AK851" s="299" t="str">
        <f>IF(ISERROR(LOOKUP(E851,WKNrListe,Übersicht!$R$7:$R$46)),"-",LOOKUP(E851,WKNrListe,Übersicht!$R$7:$R$46))</f>
        <v>-</v>
      </c>
      <c r="AL851" s="299" t="str">
        <f t="shared" si="123"/>
        <v>-</v>
      </c>
      <c r="AM851" s="303"/>
      <c r="AN851" s="174" t="str">
        <f t="shared" si="116"/>
        <v>Leer</v>
      </c>
    </row>
    <row r="852" spans="1:40" s="174" customFormat="1" ht="15" customHeight="1">
      <c r="A852" s="63"/>
      <c r="B852" s="63"/>
      <c r="C852" s="84"/>
      <c r="D852" s="85"/>
      <c r="E852" s="62"/>
      <c r="F852" s="62"/>
      <c r="G852" s="62"/>
      <c r="H852" s="62"/>
      <c r="I852" s="62"/>
      <c r="J852" s="62"/>
      <c r="K852" s="62"/>
      <c r="L852" s="62"/>
      <c r="M852" s="62"/>
      <c r="N852" s="62"/>
      <c r="O852" s="62"/>
      <c r="P852" s="62"/>
      <c r="Q852" s="62"/>
      <c r="R852" s="62"/>
      <c r="S852" s="258"/>
      <c r="T852" s="248" t="str">
        <f t="shared" si="121"/>
        <v/>
      </c>
      <c r="U852" s="249" t="str">
        <f t="shared" si="122"/>
        <v/>
      </c>
      <c r="V852" s="294" t="str">
        <f t="shared" si="118"/>
        <v/>
      </c>
      <c r="W852" s="294" t="str">
        <f>IF(((E852="")+(F852="")),"",IF(VLOOKUP(F852,Mannschaften!$A$1:$B$54,2,FALSE)&lt;&gt;E852,"Reiter Mannschaften füllen",""))</f>
        <v/>
      </c>
      <c r="X852" s="248" t="str">
        <f>IF(ISBLANK(C852),"",IF((U852&gt;(LOOKUP(E852,WKNrListe,Übersicht!$O$7:$O$46)))+(U852&lt;(LOOKUP(E852,WKNrListe,Übersicht!$P$7:$P$46))),"JG falsch",""))</f>
        <v/>
      </c>
      <c r="Y852" s="255" t="str">
        <f>IF((A852="")*(B852=""),"",IF(ISERROR(MATCH(E852,WKNrListe,0)),"WK falsch",LOOKUP(E852,WKNrListe,Übersicht!$B$7:$B$46)))</f>
        <v/>
      </c>
      <c r="Z852" s="269" t="str">
        <f>IF(((AJ852=0)*(AH852&lt;&gt;"")*(AK852="-"))+((AJ852&lt;&gt;0)*(AH852&lt;&gt;"")*(AK852="-")),IF(AG852="X",Übersicht!$C$70,Übersicht!$C$69),"-")</f>
        <v>-</v>
      </c>
      <c r="AA852" s="252" t="str">
        <f>IF((($A852="")*($B852=""))+((MID($Y852,1,4)&lt;&gt;"Wahl")*(Deckblatt!$C$14='WK-Vorlagen'!$C$82))+(Deckblatt!$C$14&lt;&gt;'WK-Vorlagen'!$C$82),"",IF(ISERROR(MATCH(VALUE(MID(G852,1,2)),Schwierigkeitsstufen!$G$7:$G$19,0)),"Gerät falsch",LOOKUP(VALUE(MID(G852,1,2)),Schwierigkeitsstufen!$G$7:$G$19,Schwierigkeitsstufen!$H$7:$H$19)))</f>
        <v/>
      </c>
      <c r="AB852" s="250" t="str">
        <f>IF((($A852="")*($B852=""))+((MID($Y852,1,4)&lt;&gt;"Wahl")*(Deckblatt!$C$14='WK-Vorlagen'!$C$82))+(Deckblatt!$C$14&lt;&gt;'WK-Vorlagen'!$C$82),"",IF(ISERROR(MATCH(VALUE(MID(H852,1,2)),Schwierigkeitsstufen!$G$7:$G$19,0)),"Gerät falsch",LOOKUP(VALUE(MID(H852,1,2)),Schwierigkeitsstufen!$G$7:$G$19,Schwierigkeitsstufen!$H$7:$H$19)))</f>
        <v/>
      </c>
      <c r="AC852" s="250" t="str">
        <f>IF((($A852="")*($B852=""))+((MID($Y852,1,4)&lt;&gt;"Wahl")*(Deckblatt!$C$14='WK-Vorlagen'!$C$82))+(Deckblatt!$C$14&lt;&gt;'WK-Vorlagen'!$C$82),"",IF(ISERROR(MATCH(VALUE(MID(I852,1,2)),Schwierigkeitsstufen!$G$7:$G$19,0)),"Gerät falsch",LOOKUP(VALUE(MID(I852,1,2)),Schwierigkeitsstufen!$G$7:$G$19,Schwierigkeitsstufen!$H$7:$H$19)))</f>
        <v/>
      </c>
      <c r="AD852" s="251" t="str">
        <f>IF((($A852="")*($B852=""))+((MID($Y852,1,4)&lt;&gt;"Wahl")*(Deckblatt!$C$14='WK-Vorlagen'!$C$82))+(Deckblatt!$C$14&lt;&gt;'WK-Vorlagen'!$C$82),"",IF(ISERROR(MATCH(VALUE(MID(J852,1,2)),Schwierigkeitsstufen!$G$7:$G$19,0)),"Gerät falsch",LOOKUP(VALUE(MID(J852,1,2)),Schwierigkeitsstufen!$G$7:$G$19,Schwierigkeitsstufen!$H$7:$H$19)))</f>
        <v/>
      </c>
      <c r="AE852" s="211"/>
      <c r="AG852" s="221" t="str">
        <f t="shared" si="117"/>
        <v/>
      </c>
      <c r="AH852" s="222" t="str">
        <f t="shared" si="119"/>
        <v/>
      </c>
      <c r="AI852" s="220">
        <f t="shared" si="124"/>
        <v>4</v>
      </c>
      <c r="AJ852" s="222">
        <f t="shared" si="120"/>
        <v>0</v>
      </c>
      <c r="AK852" s="299" t="str">
        <f>IF(ISERROR(LOOKUP(E852,WKNrListe,Übersicht!$R$7:$R$46)),"-",LOOKUP(E852,WKNrListe,Übersicht!$R$7:$R$46))</f>
        <v>-</v>
      </c>
      <c r="AL852" s="299" t="str">
        <f t="shared" si="123"/>
        <v>-</v>
      </c>
      <c r="AM852" s="303"/>
      <c r="AN852" s="174" t="str">
        <f t="shared" si="116"/>
        <v>Leer</v>
      </c>
    </row>
    <row r="853" spans="1:40" s="174" customFormat="1" ht="15" customHeight="1">
      <c r="A853" s="63"/>
      <c r="B853" s="63"/>
      <c r="C853" s="84"/>
      <c r="D853" s="85"/>
      <c r="E853" s="62"/>
      <c r="F853" s="62"/>
      <c r="G853" s="62"/>
      <c r="H853" s="62"/>
      <c r="I853" s="62"/>
      <c r="J853" s="62"/>
      <c r="K853" s="62"/>
      <c r="L853" s="62"/>
      <c r="M853" s="62"/>
      <c r="N853" s="62"/>
      <c r="O853" s="62"/>
      <c r="P853" s="62"/>
      <c r="Q853" s="62"/>
      <c r="R853" s="62"/>
      <c r="S853" s="258"/>
      <c r="T853" s="248" t="str">
        <f t="shared" si="121"/>
        <v/>
      </c>
      <c r="U853" s="249" t="str">
        <f t="shared" si="122"/>
        <v/>
      </c>
      <c r="V853" s="294" t="str">
        <f t="shared" si="118"/>
        <v/>
      </c>
      <c r="W853" s="294" t="str">
        <f>IF(((E853="")+(F853="")),"",IF(VLOOKUP(F853,Mannschaften!$A$1:$B$54,2,FALSE)&lt;&gt;E853,"Reiter Mannschaften füllen",""))</f>
        <v/>
      </c>
      <c r="X853" s="248" t="str">
        <f>IF(ISBLANK(C853),"",IF((U853&gt;(LOOKUP(E853,WKNrListe,Übersicht!$O$7:$O$46)))+(U853&lt;(LOOKUP(E853,WKNrListe,Übersicht!$P$7:$P$46))),"JG falsch",""))</f>
        <v/>
      </c>
      <c r="Y853" s="255" t="str">
        <f>IF((A853="")*(B853=""),"",IF(ISERROR(MATCH(E853,WKNrListe,0)),"WK falsch",LOOKUP(E853,WKNrListe,Übersicht!$B$7:$B$46)))</f>
        <v/>
      </c>
      <c r="Z853" s="269" t="str">
        <f>IF(((AJ853=0)*(AH853&lt;&gt;"")*(AK853="-"))+((AJ853&lt;&gt;0)*(AH853&lt;&gt;"")*(AK853="-")),IF(AG853="X",Übersicht!$C$70,Übersicht!$C$69),"-")</f>
        <v>-</v>
      </c>
      <c r="AA853" s="252" t="str">
        <f>IF((($A853="")*($B853=""))+((MID($Y853,1,4)&lt;&gt;"Wahl")*(Deckblatt!$C$14='WK-Vorlagen'!$C$82))+(Deckblatt!$C$14&lt;&gt;'WK-Vorlagen'!$C$82),"",IF(ISERROR(MATCH(VALUE(MID(G853,1,2)),Schwierigkeitsstufen!$G$7:$G$19,0)),"Gerät falsch",LOOKUP(VALUE(MID(G853,1,2)),Schwierigkeitsstufen!$G$7:$G$19,Schwierigkeitsstufen!$H$7:$H$19)))</f>
        <v/>
      </c>
      <c r="AB853" s="250" t="str">
        <f>IF((($A853="")*($B853=""))+((MID($Y853,1,4)&lt;&gt;"Wahl")*(Deckblatt!$C$14='WK-Vorlagen'!$C$82))+(Deckblatt!$C$14&lt;&gt;'WK-Vorlagen'!$C$82),"",IF(ISERROR(MATCH(VALUE(MID(H853,1,2)),Schwierigkeitsstufen!$G$7:$G$19,0)),"Gerät falsch",LOOKUP(VALUE(MID(H853,1,2)),Schwierigkeitsstufen!$G$7:$G$19,Schwierigkeitsstufen!$H$7:$H$19)))</f>
        <v/>
      </c>
      <c r="AC853" s="250" t="str">
        <f>IF((($A853="")*($B853=""))+((MID($Y853,1,4)&lt;&gt;"Wahl")*(Deckblatt!$C$14='WK-Vorlagen'!$C$82))+(Deckblatt!$C$14&lt;&gt;'WK-Vorlagen'!$C$82),"",IF(ISERROR(MATCH(VALUE(MID(I853,1,2)),Schwierigkeitsstufen!$G$7:$G$19,0)),"Gerät falsch",LOOKUP(VALUE(MID(I853,1,2)),Schwierigkeitsstufen!$G$7:$G$19,Schwierigkeitsstufen!$H$7:$H$19)))</f>
        <v/>
      </c>
      <c r="AD853" s="251" t="str">
        <f>IF((($A853="")*($B853=""))+((MID($Y853,1,4)&lt;&gt;"Wahl")*(Deckblatt!$C$14='WK-Vorlagen'!$C$82))+(Deckblatt!$C$14&lt;&gt;'WK-Vorlagen'!$C$82),"",IF(ISERROR(MATCH(VALUE(MID(J853,1,2)),Schwierigkeitsstufen!$G$7:$G$19,0)),"Gerät falsch",LOOKUP(VALUE(MID(J853,1,2)),Schwierigkeitsstufen!$G$7:$G$19,Schwierigkeitsstufen!$H$7:$H$19)))</f>
        <v/>
      </c>
      <c r="AE853" s="211"/>
      <c r="AG853" s="221" t="str">
        <f t="shared" si="117"/>
        <v/>
      </c>
      <c r="AH853" s="222" t="str">
        <f t="shared" si="119"/>
        <v/>
      </c>
      <c r="AI853" s="220">
        <f t="shared" si="124"/>
        <v>4</v>
      </c>
      <c r="AJ853" s="222">
        <f t="shared" si="120"/>
        <v>0</v>
      </c>
      <c r="AK853" s="299" t="str">
        <f>IF(ISERROR(LOOKUP(E853,WKNrListe,Übersicht!$R$7:$R$46)),"-",LOOKUP(E853,WKNrListe,Übersicht!$R$7:$R$46))</f>
        <v>-</v>
      </c>
      <c r="AL853" s="299" t="str">
        <f t="shared" si="123"/>
        <v>-</v>
      </c>
      <c r="AM853" s="303"/>
      <c r="AN853" s="174" t="str">
        <f t="shared" si="116"/>
        <v>Leer</v>
      </c>
    </row>
    <row r="854" spans="1:40" s="174" customFormat="1" ht="15" customHeight="1">
      <c r="A854" s="63"/>
      <c r="B854" s="63"/>
      <c r="C854" s="84"/>
      <c r="D854" s="85"/>
      <c r="E854" s="62"/>
      <c r="F854" s="62"/>
      <c r="G854" s="62"/>
      <c r="H854" s="62"/>
      <c r="I854" s="62"/>
      <c r="J854" s="62"/>
      <c r="K854" s="62"/>
      <c r="L854" s="62"/>
      <c r="M854" s="62"/>
      <c r="N854" s="62"/>
      <c r="O854" s="62"/>
      <c r="P854" s="62"/>
      <c r="Q854" s="62"/>
      <c r="R854" s="62"/>
      <c r="S854" s="258"/>
      <c r="T854" s="248" t="str">
        <f t="shared" si="121"/>
        <v/>
      </c>
      <c r="U854" s="249" t="str">
        <f t="shared" si="122"/>
        <v/>
      </c>
      <c r="V854" s="294" t="str">
        <f t="shared" si="118"/>
        <v/>
      </c>
      <c r="W854" s="294" t="str">
        <f>IF(((E854="")+(F854="")),"",IF(VLOOKUP(F854,Mannschaften!$A$1:$B$54,2,FALSE)&lt;&gt;E854,"Reiter Mannschaften füllen",""))</f>
        <v/>
      </c>
      <c r="X854" s="248" t="str">
        <f>IF(ISBLANK(C854),"",IF((U854&gt;(LOOKUP(E854,WKNrListe,Übersicht!$O$7:$O$46)))+(U854&lt;(LOOKUP(E854,WKNrListe,Übersicht!$P$7:$P$46))),"JG falsch",""))</f>
        <v/>
      </c>
      <c r="Y854" s="255" t="str">
        <f>IF((A854="")*(B854=""),"",IF(ISERROR(MATCH(E854,WKNrListe,0)),"WK falsch",LOOKUP(E854,WKNrListe,Übersicht!$B$7:$B$46)))</f>
        <v/>
      </c>
      <c r="Z854" s="269" t="str">
        <f>IF(((AJ854=0)*(AH854&lt;&gt;"")*(AK854="-"))+((AJ854&lt;&gt;0)*(AH854&lt;&gt;"")*(AK854="-")),IF(AG854="X",Übersicht!$C$70,Übersicht!$C$69),"-")</f>
        <v>-</v>
      </c>
      <c r="AA854" s="252" t="str">
        <f>IF((($A854="")*($B854=""))+((MID($Y854,1,4)&lt;&gt;"Wahl")*(Deckblatt!$C$14='WK-Vorlagen'!$C$82))+(Deckblatt!$C$14&lt;&gt;'WK-Vorlagen'!$C$82),"",IF(ISERROR(MATCH(VALUE(MID(G854,1,2)),Schwierigkeitsstufen!$G$7:$G$19,0)),"Gerät falsch",LOOKUP(VALUE(MID(G854,1,2)),Schwierigkeitsstufen!$G$7:$G$19,Schwierigkeitsstufen!$H$7:$H$19)))</f>
        <v/>
      </c>
      <c r="AB854" s="250" t="str">
        <f>IF((($A854="")*($B854=""))+((MID($Y854,1,4)&lt;&gt;"Wahl")*(Deckblatt!$C$14='WK-Vorlagen'!$C$82))+(Deckblatt!$C$14&lt;&gt;'WK-Vorlagen'!$C$82),"",IF(ISERROR(MATCH(VALUE(MID(H854,1,2)),Schwierigkeitsstufen!$G$7:$G$19,0)),"Gerät falsch",LOOKUP(VALUE(MID(H854,1,2)),Schwierigkeitsstufen!$G$7:$G$19,Schwierigkeitsstufen!$H$7:$H$19)))</f>
        <v/>
      </c>
      <c r="AC854" s="250" t="str">
        <f>IF((($A854="")*($B854=""))+((MID($Y854,1,4)&lt;&gt;"Wahl")*(Deckblatt!$C$14='WK-Vorlagen'!$C$82))+(Deckblatt!$C$14&lt;&gt;'WK-Vorlagen'!$C$82),"",IF(ISERROR(MATCH(VALUE(MID(I854,1,2)),Schwierigkeitsstufen!$G$7:$G$19,0)),"Gerät falsch",LOOKUP(VALUE(MID(I854,1,2)),Schwierigkeitsstufen!$G$7:$G$19,Schwierigkeitsstufen!$H$7:$H$19)))</f>
        <v/>
      </c>
      <c r="AD854" s="251" t="str">
        <f>IF((($A854="")*($B854=""))+((MID($Y854,1,4)&lt;&gt;"Wahl")*(Deckblatt!$C$14='WK-Vorlagen'!$C$82))+(Deckblatt!$C$14&lt;&gt;'WK-Vorlagen'!$C$82),"",IF(ISERROR(MATCH(VALUE(MID(J854,1,2)),Schwierigkeitsstufen!$G$7:$G$19,0)),"Gerät falsch",LOOKUP(VALUE(MID(J854,1,2)),Schwierigkeitsstufen!$G$7:$G$19,Schwierigkeitsstufen!$H$7:$H$19)))</f>
        <v/>
      </c>
      <c r="AE854" s="211"/>
      <c r="AG854" s="221" t="str">
        <f t="shared" si="117"/>
        <v/>
      </c>
      <c r="AH854" s="222" t="str">
        <f t="shared" si="119"/>
        <v/>
      </c>
      <c r="AI854" s="220">
        <f t="shared" si="124"/>
        <v>4</v>
      </c>
      <c r="AJ854" s="222">
        <f t="shared" si="120"/>
        <v>0</v>
      </c>
      <c r="AK854" s="299" t="str">
        <f>IF(ISERROR(LOOKUP(E854,WKNrListe,Übersicht!$R$7:$R$46)),"-",LOOKUP(E854,WKNrListe,Übersicht!$R$7:$R$46))</f>
        <v>-</v>
      </c>
      <c r="AL854" s="299" t="str">
        <f t="shared" si="123"/>
        <v>-</v>
      </c>
      <c r="AM854" s="303"/>
      <c r="AN854" s="174" t="str">
        <f t="shared" si="116"/>
        <v>Leer</v>
      </c>
    </row>
    <row r="855" spans="1:40" s="174" customFormat="1" ht="15" customHeight="1">
      <c r="A855" s="63"/>
      <c r="B855" s="63"/>
      <c r="C855" s="84"/>
      <c r="D855" s="85"/>
      <c r="E855" s="62"/>
      <c r="F855" s="62"/>
      <c r="G855" s="62"/>
      <c r="H855" s="62"/>
      <c r="I855" s="62"/>
      <c r="J855" s="62"/>
      <c r="K855" s="62"/>
      <c r="L855" s="62"/>
      <c r="M855" s="62"/>
      <c r="N855" s="62"/>
      <c r="O855" s="62"/>
      <c r="P855" s="62"/>
      <c r="Q855" s="62"/>
      <c r="R855" s="62"/>
      <c r="S855" s="258"/>
      <c r="T855" s="248" t="str">
        <f t="shared" si="121"/>
        <v/>
      </c>
      <c r="U855" s="249" t="str">
        <f t="shared" si="122"/>
        <v/>
      </c>
      <c r="V855" s="294" t="str">
        <f t="shared" si="118"/>
        <v/>
      </c>
      <c r="W855" s="294" t="str">
        <f>IF(((E855="")+(F855="")),"",IF(VLOOKUP(F855,Mannschaften!$A$1:$B$54,2,FALSE)&lt;&gt;E855,"Reiter Mannschaften füllen",""))</f>
        <v/>
      </c>
      <c r="X855" s="248" t="str">
        <f>IF(ISBLANK(C855),"",IF((U855&gt;(LOOKUP(E855,WKNrListe,Übersicht!$O$7:$O$46)))+(U855&lt;(LOOKUP(E855,WKNrListe,Übersicht!$P$7:$P$46))),"JG falsch",""))</f>
        <v/>
      </c>
      <c r="Y855" s="255" t="str">
        <f>IF((A855="")*(B855=""),"",IF(ISERROR(MATCH(E855,WKNrListe,0)),"WK falsch",LOOKUP(E855,WKNrListe,Übersicht!$B$7:$B$46)))</f>
        <v/>
      </c>
      <c r="Z855" s="269" t="str">
        <f>IF(((AJ855=0)*(AH855&lt;&gt;"")*(AK855="-"))+((AJ855&lt;&gt;0)*(AH855&lt;&gt;"")*(AK855="-")),IF(AG855="X",Übersicht!$C$70,Übersicht!$C$69),"-")</f>
        <v>-</v>
      </c>
      <c r="AA855" s="252" t="str">
        <f>IF((($A855="")*($B855=""))+((MID($Y855,1,4)&lt;&gt;"Wahl")*(Deckblatt!$C$14='WK-Vorlagen'!$C$82))+(Deckblatt!$C$14&lt;&gt;'WK-Vorlagen'!$C$82),"",IF(ISERROR(MATCH(VALUE(MID(G855,1,2)),Schwierigkeitsstufen!$G$7:$G$19,0)),"Gerät falsch",LOOKUP(VALUE(MID(G855,1,2)),Schwierigkeitsstufen!$G$7:$G$19,Schwierigkeitsstufen!$H$7:$H$19)))</f>
        <v/>
      </c>
      <c r="AB855" s="250" t="str">
        <f>IF((($A855="")*($B855=""))+((MID($Y855,1,4)&lt;&gt;"Wahl")*(Deckblatt!$C$14='WK-Vorlagen'!$C$82))+(Deckblatt!$C$14&lt;&gt;'WK-Vorlagen'!$C$82),"",IF(ISERROR(MATCH(VALUE(MID(H855,1,2)),Schwierigkeitsstufen!$G$7:$G$19,0)),"Gerät falsch",LOOKUP(VALUE(MID(H855,1,2)),Schwierigkeitsstufen!$G$7:$G$19,Schwierigkeitsstufen!$H$7:$H$19)))</f>
        <v/>
      </c>
      <c r="AC855" s="250" t="str">
        <f>IF((($A855="")*($B855=""))+((MID($Y855,1,4)&lt;&gt;"Wahl")*(Deckblatt!$C$14='WK-Vorlagen'!$C$82))+(Deckblatt!$C$14&lt;&gt;'WK-Vorlagen'!$C$82),"",IF(ISERROR(MATCH(VALUE(MID(I855,1,2)),Schwierigkeitsstufen!$G$7:$G$19,0)),"Gerät falsch",LOOKUP(VALUE(MID(I855,1,2)),Schwierigkeitsstufen!$G$7:$G$19,Schwierigkeitsstufen!$H$7:$H$19)))</f>
        <v/>
      </c>
      <c r="AD855" s="251" t="str">
        <f>IF((($A855="")*($B855=""))+((MID($Y855,1,4)&lt;&gt;"Wahl")*(Deckblatt!$C$14='WK-Vorlagen'!$C$82))+(Deckblatt!$C$14&lt;&gt;'WK-Vorlagen'!$C$82),"",IF(ISERROR(MATCH(VALUE(MID(J855,1,2)),Schwierigkeitsstufen!$G$7:$G$19,0)),"Gerät falsch",LOOKUP(VALUE(MID(J855,1,2)),Schwierigkeitsstufen!$G$7:$G$19,Schwierigkeitsstufen!$H$7:$H$19)))</f>
        <v/>
      </c>
      <c r="AE855" s="211"/>
      <c r="AG855" s="221" t="str">
        <f t="shared" si="117"/>
        <v/>
      </c>
      <c r="AH855" s="222" t="str">
        <f t="shared" si="119"/>
        <v/>
      </c>
      <c r="AI855" s="220">
        <f t="shared" si="124"/>
        <v>4</v>
      </c>
      <c r="AJ855" s="222">
        <f t="shared" si="120"/>
        <v>0</v>
      </c>
      <c r="AK855" s="299" t="str">
        <f>IF(ISERROR(LOOKUP(E855,WKNrListe,Übersicht!$R$7:$R$46)),"-",LOOKUP(E855,WKNrListe,Übersicht!$R$7:$R$46))</f>
        <v>-</v>
      </c>
      <c r="AL855" s="299" t="str">
        <f t="shared" si="123"/>
        <v>-</v>
      </c>
      <c r="AM855" s="303"/>
      <c r="AN855" s="174" t="str">
        <f t="shared" si="116"/>
        <v>Leer</v>
      </c>
    </row>
    <row r="856" spans="1:40" s="174" customFormat="1" ht="15" customHeight="1">
      <c r="A856" s="63"/>
      <c r="B856" s="63"/>
      <c r="C856" s="84"/>
      <c r="D856" s="85"/>
      <c r="E856" s="62"/>
      <c r="F856" s="62"/>
      <c r="G856" s="62"/>
      <c r="H856" s="62"/>
      <c r="I856" s="62"/>
      <c r="J856" s="62"/>
      <c r="K856" s="62"/>
      <c r="L856" s="62"/>
      <c r="M856" s="62"/>
      <c r="N856" s="62"/>
      <c r="O856" s="62"/>
      <c r="P856" s="62"/>
      <c r="Q856" s="62"/>
      <c r="R856" s="62"/>
      <c r="S856" s="258"/>
      <c r="T856" s="248" t="str">
        <f t="shared" si="121"/>
        <v/>
      </c>
      <c r="U856" s="249" t="str">
        <f t="shared" si="122"/>
        <v/>
      </c>
      <c r="V856" s="294" t="str">
        <f t="shared" si="118"/>
        <v/>
      </c>
      <c r="W856" s="294" t="str">
        <f>IF(((E856="")+(F856="")),"",IF(VLOOKUP(F856,Mannschaften!$A$1:$B$54,2,FALSE)&lt;&gt;E856,"Reiter Mannschaften füllen",""))</f>
        <v/>
      </c>
      <c r="X856" s="248" t="str">
        <f>IF(ISBLANK(C856),"",IF((U856&gt;(LOOKUP(E856,WKNrListe,Übersicht!$O$7:$O$46)))+(U856&lt;(LOOKUP(E856,WKNrListe,Übersicht!$P$7:$P$46))),"JG falsch",""))</f>
        <v/>
      </c>
      <c r="Y856" s="255" t="str">
        <f>IF((A856="")*(B856=""),"",IF(ISERROR(MATCH(E856,WKNrListe,0)),"WK falsch",LOOKUP(E856,WKNrListe,Übersicht!$B$7:$B$46)))</f>
        <v/>
      </c>
      <c r="Z856" s="269" t="str">
        <f>IF(((AJ856=0)*(AH856&lt;&gt;"")*(AK856="-"))+((AJ856&lt;&gt;0)*(AH856&lt;&gt;"")*(AK856="-")),IF(AG856="X",Übersicht!$C$70,Übersicht!$C$69),"-")</f>
        <v>-</v>
      </c>
      <c r="AA856" s="252" t="str">
        <f>IF((($A856="")*($B856=""))+((MID($Y856,1,4)&lt;&gt;"Wahl")*(Deckblatt!$C$14='WK-Vorlagen'!$C$82))+(Deckblatt!$C$14&lt;&gt;'WK-Vorlagen'!$C$82),"",IF(ISERROR(MATCH(VALUE(MID(G856,1,2)),Schwierigkeitsstufen!$G$7:$G$19,0)),"Gerät falsch",LOOKUP(VALUE(MID(G856,1,2)),Schwierigkeitsstufen!$G$7:$G$19,Schwierigkeitsstufen!$H$7:$H$19)))</f>
        <v/>
      </c>
      <c r="AB856" s="250" t="str">
        <f>IF((($A856="")*($B856=""))+((MID($Y856,1,4)&lt;&gt;"Wahl")*(Deckblatt!$C$14='WK-Vorlagen'!$C$82))+(Deckblatt!$C$14&lt;&gt;'WK-Vorlagen'!$C$82),"",IF(ISERROR(MATCH(VALUE(MID(H856,1,2)),Schwierigkeitsstufen!$G$7:$G$19,0)),"Gerät falsch",LOOKUP(VALUE(MID(H856,1,2)),Schwierigkeitsstufen!$G$7:$G$19,Schwierigkeitsstufen!$H$7:$H$19)))</f>
        <v/>
      </c>
      <c r="AC856" s="250" t="str">
        <f>IF((($A856="")*($B856=""))+((MID($Y856,1,4)&lt;&gt;"Wahl")*(Deckblatt!$C$14='WK-Vorlagen'!$C$82))+(Deckblatt!$C$14&lt;&gt;'WK-Vorlagen'!$C$82),"",IF(ISERROR(MATCH(VALUE(MID(I856,1,2)),Schwierigkeitsstufen!$G$7:$G$19,0)),"Gerät falsch",LOOKUP(VALUE(MID(I856,1,2)),Schwierigkeitsstufen!$G$7:$G$19,Schwierigkeitsstufen!$H$7:$H$19)))</f>
        <v/>
      </c>
      <c r="AD856" s="251" t="str">
        <f>IF((($A856="")*($B856=""))+((MID($Y856,1,4)&lt;&gt;"Wahl")*(Deckblatt!$C$14='WK-Vorlagen'!$C$82))+(Deckblatt!$C$14&lt;&gt;'WK-Vorlagen'!$C$82),"",IF(ISERROR(MATCH(VALUE(MID(J856,1,2)),Schwierigkeitsstufen!$G$7:$G$19,0)),"Gerät falsch",LOOKUP(VALUE(MID(J856,1,2)),Schwierigkeitsstufen!$G$7:$G$19,Schwierigkeitsstufen!$H$7:$H$19)))</f>
        <v/>
      </c>
      <c r="AE856" s="211"/>
      <c r="AG856" s="221" t="str">
        <f t="shared" si="117"/>
        <v/>
      </c>
      <c r="AH856" s="222" t="str">
        <f t="shared" si="119"/>
        <v/>
      </c>
      <c r="AI856" s="220">
        <f t="shared" si="124"/>
        <v>4</v>
      </c>
      <c r="AJ856" s="222">
        <f t="shared" si="120"/>
        <v>0</v>
      </c>
      <c r="AK856" s="299" t="str">
        <f>IF(ISERROR(LOOKUP(E856,WKNrListe,Übersicht!$R$7:$R$46)),"-",LOOKUP(E856,WKNrListe,Übersicht!$R$7:$R$46))</f>
        <v>-</v>
      </c>
      <c r="AL856" s="299" t="str">
        <f t="shared" si="123"/>
        <v>-</v>
      </c>
      <c r="AM856" s="303"/>
      <c r="AN856" s="174" t="str">
        <f t="shared" si="116"/>
        <v>Leer</v>
      </c>
    </row>
    <row r="857" spans="1:40" s="174" customFormat="1" ht="15" customHeight="1">
      <c r="A857" s="63"/>
      <c r="B857" s="63"/>
      <c r="C857" s="84"/>
      <c r="D857" s="85"/>
      <c r="E857" s="62"/>
      <c r="F857" s="62"/>
      <c r="G857" s="62"/>
      <c r="H857" s="62"/>
      <c r="I857" s="62"/>
      <c r="J857" s="62"/>
      <c r="K857" s="62"/>
      <c r="L857" s="62"/>
      <c r="M857" s="62"/>
      <c r="N857" s="62"/>
      <c r="O857" s="62"/>
      <c r="P857" s="62"/>
      <c r="Q857" s="62"/>
      <c r="R857" s="62"/>
      <c r="S857" s="258"/>
      <c r="T857" s="248" t="str">
        <f t="shared" si="121"/>
        <v/>
      </c>
      <c r="U857" s="249" t="str">
        <f t="shared" si="122"/>
        <v/>
      </c>
      <c r="V857" s="294" t="str">
        <f t="shared" si="118"/>
        <v/>
      </c>
      <c r="W857" s="294" t="str">
        <f>IF(((E857="")+(F857="")),"",IF(VLOOKUP(F857,Mannschaften!$A$1:$B$54,2,FALSE)&lt;&gt;E857,"Reiter Mannschaften füllen",""))</f>
        <v/>
      </c>
      <c r="X857" s="248" t="str">
        <f>IF(ISBLANK(C857),"",IF((U857&gt;(LOOKUP(E857,WKNrListe,Übersicht!$O$7:$O$46)))+(U857&lt;(LOOKUP(E857,WKNrListe,Übersicht!$P$7:$P$46))),"JG falsch",""))</f>
        <v/>
      </c>
      <c r="Y857" s="255" t="str">
        <f>IF((A857="")*(B857=""),"",IF(ISERROR(MATCH(E857,WKNrListe,0)),"WK falsch",LOOKUP(E857,WKNrListe,Übersicht!$B$7:$B$46)))</f>
        <v/>
      </c>
      <c r="Z857" s="269" t="str">
        <f>IF(((AJ857=0)*(AH857&lt;&gt;"")*(AK857="-"))+((AJ857&lt;&gt;0)*(AH857&lt;&gt;"")*(AK857="-")),IF(AG857="X",Übersicht!$C$70,Übersicht!$C$69),"-")</f>
        <v>-</v>
      </c>
      <c r="AA857" s="252" t="str">
        <f>IF((($A857="")*($B857=""))+((MID($Y857,1,4)&lt;&gt;"Wahl")*(Deckblatt!$C$14='WK-Vorlagen'!$C$82))+(Deckblatt!$C$14&lt;&gt;'WK-Vorlagen'!$C$82),"",IF(ISERROR(MATCH(VALUE(MID(G857,1,2)),Schwierigkeitsstufen!$G$7:$G$19,0)),"Gerät falsch",LOOKUP(VALUE(MID(G857,1,2)),Schwierigkeitsstufen!$G$7:$G$19,Schwierigkeitsstufen!$H$7:$H$19)))</f>
        <v/>
      </c>
      <c r="AB857" s="250" t="str">
        <f>IF((($A857="")*($B857=""))+((MID($Y857,1,4)&lt;&gt;"Wahl")*(Deckblatt!$C$14='WK-Vorlagen'!$C$82))+(Deckblatt!$C$14&lt;&gt;'WK-Vorlagen'!$C$82),"",IF(ISERROR(MATCH(VALUE(MID(H857,1,2)),Schwierigkeitsstufen!$G$7:$G$19,0)),"Gerät falsch",LOOKUP(VALUE(MID(H857,1,2)),Schwierigkeitsstufen!$G$7:$G$19,Schwierigkeitsstufen!$H$7:$H$19)))</f>
        <v/>
      </c>
      <c r="AC857" s="250" t="str">
        <f>IF((($A857="")*($B857=""))+((MID($Y857,1,4)&lt;&gt;"Wahl")*(Deckblatt!$C$14='WK-Vorlagen'!$C$82))+(Deckblatt!$C$14&lt;&gt;'WK-Vorlagen'!$C$82),"",IF(ISERROR(MATCH(VALUE(MID(I857,1,2)),Schwierigkeitsstufen!$G$7:$G$19,0)),"Gerät falsch",LOOKUP(VALUE(MID(I857,1,2)),Schwierigkeitsstufen!$G$7:$G$19,Schwierigkeitsstufen!$H$7:$H$19)))</f>
        <v/>
      </c>
      <c r="AD857" s="251" t="str">
        <f>IF((($A857="")*($B857=""))+((MID($Y857,1,4)&lt;&gt;"Wahl")*(Deckblatt!$C$14='WK-Vorlagen'!$C$82))+(Deckblatt!$C$14&lt;&gt;'WK-Vorlagen'!$C$82),"",IF(ISERROR(MATCH(VALUE(MID(J857,1,2)),Schwierigkeitsstufen!$G$7:$G$19,0)),"Gerät falsch",LOOKUP(VALUE(MID(J857,1,2)),Schwierigkeitsstufen!$G$7:$G$19,Schwierigkeitsstufen!$H$7:$H$19)))</f>
        <v/>
      </c>
      <c r="AE857" s="211"/>
      <c r="AG857" s="221" t="str">
        <f t="shared" si="117"/>
        <v/>
      </c>
      <c r="AH857" s="222" t="str">
        <f t="shared" si="119"/>
        <v/>
      </c>
      <c r="AI857" s="220">
        <f t="shared" si="124"/>
        <v>4</v>
      </c>
      <c r="AJ857" s="222">
        <f t="shared" si="120"/>
        <v>0</v>
      </c>
      <c r="AK857" s="299" t="str">
        <f>IF(ISERROR(LOOKUP(E857,WKNrListe,Übersicht!$R$7:$R$46)),"-",LOOKUP(E857,WKNrListe,Übersicht!$R$7:$R$46))</f>
        <v>-</v>
      </c>
      <c r="AL857" s="299" t="str">
        <f t="shared" si="123"/>
        <v>-</v>
      </c>
      <c r="AM857" s="303"/>
      <c r="AN857" s="174" t="str">
        <f t="shared" si="116"/>
        <v>Leer</v>
      </c>
    </row>
    <row r="858" spans="1:40" s="174" customFormat="1" ht="15" customHeight="1">
      <c r="A858" s="63"/>
      <c r="B858" s="63"/>
      <c r="C858" s="84"/>
      <c r="D858" s="85"/>
      <c r="E858" s="62"/>
      <c r="F858" s="62"/>
      <c r="G858" s="62"/>
      <c r="H858" s="62"/>
      <c r="I858" s="62"/>
      <c r="J858" s="62"/>
      <c r="K858" s="62"/>
      <c r="L858" s="62"/>
      <c r="M858" s="62"/>
      <c r="N858" s="62"/>
      <c r="O858" s="62"/>
      <c r="P858" s="62"/>
      <c r="Q858" s="62"/>
      <c r="R858" s="62"/>
      <c r="S858" s="258"/>
      <c r="T858" s="248" t="str">
        <f t="shared" si="121"/>
        <v/>
      </c>
      <c r="U858" s="249" t="str">
        <f t="shared" si="122"/>
        <v/>
      </c>
      <c r="V858" s="294" t="str">
        <f t="shared" si="118"/>
        <v/>
      </c>
      <c r="W858" s="294" t="str">
        <f>IF(((E858="")+(F858="")),"",IF(VLOOKUP(F858,Mannschaften!$A$1:$B$54,2,FALSE)&lt;&gt;E858,"Reiter Mannschaften füllen",""))</f>
        <v/>
      </c>
      <c r="X858" s="248" t="str">
        <f>IF(ISBLANK(C858),"",IF((U858&gt;(LOOKUP(E858,WKNrListe,Übersicht!$O$7:$O$46)))+(U858&lt;(LOOKUP(E858,WKNrListe,Übersicht!$P$7:$P$46))),"JG falsch",""))</f>
        <v/>
      </c>
      <c r="Y858" s="255" t="str">
        <f>IF((A858="")*(B858=""),"",IF(ISERROR(MATCH(E858,WKNrListe,0)),"WK falsch",LOOKUP(E858,WKNrListe,Übersicht!$B$7:$B$46)))</f>
        <v/>
      </c>
      <c r="Z858" s="269" t="str">
        <f>IF(((AJ858=0)*(AH858&lt;&gt;"")*(AK858="-"))+((AJ858&lt;&gt;0)*(AH858&lt;&gt;"")*(AK858="-")),IF(AG858="X",Übersicht!$C$70,Übersicht!$C$69),"-")</f>
        <v>-</v>
      </c>
      <c r="AA858" s="252" t="str">
        <f>IF((($A858="")*($B858=""))+((MID($Y858,1,4)&lt;&gt;"Wahl")*(Deckblatt!$C$14='WK-Vorlagen'!$C$82))+(Deckblatt!$C$14&lt;&gt;'WK-Vorlagen'!$C$82),"",IF(ISERROR(MATCH(VALUE(MID(G858,1,2)),Schwierigkeitsstufen!$G$7:$G$19,0)),"Gerät falsch",LOOKUP(VALUE(MID(G858,1,2)),Schwierigkeitsstufen!$G$7:$G$19,Schwierigkeitsstufen!$H$7:$H$19)))</f>
        <v/>
      </c>
      <c r="AB858" s="250" t="str">
        <f>IF((($A858="")*($B858=""))+((MID($Y858,1,4)&lt;&gt;"Wahl")*(Deckblatt!$C$14='WK-Vorlagen'!$C$82))+(Deckblatt!$C$14&lt;&gt;'WK-Vorlagen'!$C$82),"",IF(ISERROR(MATCH(VALUE(MID(H858,1,2)),Schwierigkeitsstufen!$G$7:$G$19,0)),"Gerät falsch",LOOKUP(VALUE(MID(H858,1,2)),Schwierigkeitsstufen!$G$7:$G$19,Schwierigkeitsstufen!$H$7:$H$19)))</f>
        <v/>
      </c>
      <c r="AC858" s="250" t="str">
        <f>IF((($A858="")*($B858=""))+((MID($Y858,1,4)&lt;&gt;"Wahl")*(Deckblatt!$C$14='WK-Vorlagen'!$C$82))+(Deckblatt!$C$14&lt;&gt;'WK-Vorlagen'!$C$82),"",IF(ISERROR(MATCH(VALUE(MID(I858,1,2)),Schwierigkeitsstufen!$G$7:$G$19,0)),"Gerät falsch",LOOKUP(VALUE(MID(I858,1,2)),Schwierigkeitsstufen!$G$7:$G$19,Schwierigkeitsstufen!$H$7:$H$19)))</f>
        <v/>
      </c>
      <c r="AD858" s="251" t="str">
        <f>IF((($A858="")*($B858=""))+((MID($Y858,1,4)&lt;&gt;"Wahl")*(Deckblatt!$C$14='WK-Vorlagen'!$C$82))+(Deckblatt!$C$14&lt;&gt;'WK-Vorlagen'!$C$82),"",IF(ISERROR(MATCH(VALUE(MID(J858,1,2)),Schwierigkeitsstufen!$G$7:$G$19,0)),"Gerät falsch",LOOKUP(VALUE(MID(J858,1,2)),Schwierigkeitsstufen!$G$7:$G$19,Schwierigkeitsstufen!$H$7:$H$19)))</f>
        <v/>
      </c>
      <c r="AE858" s="211"/>
      <c r="AG858" s="221" t="str">
        <f t="shared" si="117"/>
        <v/>
      </c>
      <c r="AH858" s="222" t="str">
        <f t="shared" si="119"/>
        <v/>
      </c>
      <c r="AI858" s="220">
        <f t="shared" si="124"/>
        <v>4</v>
      </c>
      <c r="AJ858" s="222">
        <f t="shared" si="120"/>
        <v>0</v>
      </c>
      <c r="AK858" s="299" t="str">
        <f>IF(ISERROR(LOOKUP(E858,WKNrListe,Übersicht!$R$7:$R$46)),"-",LOOKUP(E858,WKNrListe,Übersicht!$R$7:$R$46))</f>
        <v>-</v>
      </c>
      <c r="AL858" s="299" t="str">
        <f t="shared" si="123"/>
        <v>-</v>
      </c>
      <c r="AM858" s="303"/>
      <c r="AN858" s="174" t="str">
        <f t="shared" si="116"/>
        <v>Leer</v>
      </c>
    </row>
    <row r="859" spans="1:40" s="174" customFormat="1" ht="15" customHeight="1">
      <c r="A859" s="63"/>
      <c r="B859" s="63"/>
      <c r="C859" s="84"/>
      <c r="D859" s="85"/>
      <c r="E859" s="62"/>
      <c r="F859" s="62"/>
      <c r="G859" s="62"/>
      <c r="H859" s="62"/>
      <c r="I859" s="62"/>
      <c r="J859" s="62"/>
      <c r="K859" s="62"/>
      <c r="L859" s="62"/>
      <c r="M859" s="62"/>
      <c r="N859" s="62"/>
      <c r="O859" s="62"/>
      <c r="P859" s="62"/>
      <c r="Q859" s="62"/>
      <c r="R859" s="62"/>
      <c r="S859" s="258"/>
      <c r="T859" s="248" t="str">
        <f t="shared" si="121"/>
        <v/>
      </c>
      <c r="U859" s="249" t="str">
        <f t="shared" si="122"/>
        <v/>
      </c>
      <c r="V859" s="294" t="str">
        <f t="shared" si="118"/>
        <v/>
      </c>
      <c r="W859" s="294" t="str">
        <f>IF(((E859="")+(F859="")),"",IF(VLOOKUP(F859,Mannschaften!$A$1:$B$54,2,FALSE)&lt;&gt;E859,"Reiter Mannschaften füllen",""))</f>
        <v/>
      </c>
      <c r="X859" s="248" t="str">
        <f>IF(ISBLANK(C859),"",IF((U859&gt;(LOOKUP(E859,WKNrListe,Übersicht!$O$7:$O$46)))+(U859&lt;(LOOKUP(E859,WKNrListe,Übersicht!$P$7:$P$46))),"JG falsch",""))</f>
        <v/>
      </c>
      <c r="Y859" s="255" t="str">
        <f>IF((A859="")*(B859=""),"",IF(ISERROR(MATCH(E859,WKNrListe,0)),"WK falsch",LOOKUP(E859,WKNrListe,Übersicht!$B$7:$B$46)))</f>
        <v/>
      </c>
      <c r="Z859" s="269" t="str">
        <f>IF(((AJ859=0)*(AH859&lt;&gt;"")*(AK859="-"))+((AJ859&lt;&gt;0)*(AH859&lt;&gt;"")*(AK859="-")),IF(AG859="X",Übersicht!$C$70,Übersicht!$C$69),"-")</f>
        <v>-</v>
      </c>
      <c r="AA859" s="252" t="str">
        <f>IF((($A859="")*($B859=""))+((MID($Y859,1,4)&lt;&gt;"Wahl")*(Deckblatt!$C$14='WK-Vorlagen'!$C$82))+(Deckblatt!$C$14&lt;&gt;'WK-Vorlagen'!$C$82),"",IF(ISERROR(MATCH(VALUE(MID(G859,1,2)),Schwierigkeitsstufen!$G$7:$G$19,0)),"Gerät falsch",LOOKUP(VALUE(MID(G859,1,2)),Schwierigkeitsstufen!$G$7:$G$19,Schwierigkeitsstufen!$H$7:$H$19)))</f>
        <v/>
      </c>
      <c r="AB859" s="250" t="str">
        <f>IF((($A859="")*($B859=""))+((MID($Y859,1,4)&lt;&gt;"Wahl")*(Deckblatt!$C$14='WK-Vorlagen'!$C$82))+(Deckblatt!$C$14&lt;&gt;'WK-Vorlagen'!$C$82),"",IF(ISERROR(MATCH(VALUE(MID(H859,1,2)),Schwierigkeitsstufen!$G$7:$G$19,0)),"Gerät falsch",LOOKUP(VALUE(MID(H859,1,2)),Schwierigkeitsstufen!$G$7:$G$19,Schwierigkeitsstufen!$H$7:$H$19)))</f>
        <v/>
      </c>
      <c r="AC859" s="250" t="str">
        <f>IF((($A859="")*($B859=""))+((MID($Y859,1,4)&lt;&gt;"Wahl")*(Deckblatt!$C$14='WK-Vorlagen'!$C$82))+(Deckblatt!$C$14&lt;&gt;'WK-Vorlagen'!$C$82),"",IF(ISERROR(MATCH(VALUE(MID(I859,1,2)),Schwierigkeitsstufen!$G$7:$G$19,0)),"Gerät falsch",LOOKUP(VALUE(MID(I859,1,2)),Schwierigkeitsstufen!$G$7:$G$19,Schwierigkeitsstufen!$H$7:$H$19)))</f>
        <v/>
      </c>
      <c r="AD859" s="251" t="str">
        <f>IF((($A859="")*($B859=""))+((MID($Y859,1,4)&lt;&gt;"Wahl")*(Deckblatt!$C$14='WK-Vorlagen'!$C$82))+(Deckblatt!$C$14&lt;&gt;'WK-Vorlagen'!$C$82),"",IF(ISERROR(MATCH(VALUE(MID(J859,1,2)),Schwierigkeitsstufen!$G$7:$G$19,0)),"Gerät falsch",LOOKUP(VALUE(MID(J859,1,2)),Schwierigkeitsstufen!$G$7:$G$19,Schwierigkeitsstufen!$H$7:$H$19)))</f>
        <v/>
      </c>
      <c r="AE859" s="211"/>
      <c r="AG859" s="221" t="str">
        <f t="shared" si="117"/>
        <v/>
      </c>
      <c r="AH859" s="222" t="str">
        <f t="shared" si="119"/>
        <v/>
      </c>
      <c r="AI859" s="220">
        <f t="shared" si="124"/>
        <v>4</v>
      </c>
      <c r="AJ859" s="222">
        <f t="shared" si="120"/>
        <v>0</v>
      </c>
      <c r="AK859" s="299" t="str">
        <f>IF(ISERROR(LOOKUP(E859,WKNrListe,Übersicht!$R$7:$R$46)),"-",LOOKUP(E859,WKNrListe,Übersicht!$R$7:$R$46))</f>
        <v>-</v>
      </c>
      <c r="AL859" s="299" t="str">
        <f t="shared" si="123"/>
        <v>-</v>
      </c>
      <c r="AM859" s="303"/>
      <c r="AN859" s="174" t="str">
        <f t="shared" si="116"/>
        <v>Leer</v>
      </c>
    </row>
    <row r="860" spans="1:40" s="174" customFormat="1" ht="15" customHeight="1">
      <c r="A860" s="63"/>
      <c r="B860" s="63"/>
      <c r="C860" s="84"/>
      <c r="D860" s="85"/>
      <c r="E860" s="62"/>
      <c r="F860" s="62"/>
      <c r="G860" s="62"/>
      <c r="H860" s="62"/>
      <c r="I860" s="62"/>
      <c r="J860" s="62"/>
      <c r="K860" s="62"/>
      <c r="L860" s="62"/>
      <c r="M860" s="62"/>
      <c r="N860" s="62"/>
      <c r="O860" s="62"/>
      <c r="P860" s="62"/>
      <c r="Q860" s="62"/>
      <c r="R860" s="62"/>
      <c r="S860" s="258"/>
      <c r="T860" s="248" t="str">
        <f t="shared" si="121"/>
        <v/>
      </c>
      <c r="U860" s="249" t="str">
        <f t="shared" si="122"/>
        <v/>
      </c>
      <c r="V860" s="294" t="str">
        <f t="shared" si="118"/>
        <v/>
      </c>
      <c r="W860" s="294" t="str">
        <f>IF(((E860="")+(F860="")),"",IF(VLOOKUP(F860,Mannschaften!$A$1:$B$54,2,FALSE)&lt;&gt;E860,"Reiter Mannschaften füllen",""))</f>
        <v/>
      </c>
      <c r="X860" s="248" t="str">
        <f>IF(ISBLANK(C860),"",IF((U860&gt;(LOOKUP(E860,WKNrListe,Übersicht!$O$7:$O$46)))+(U860&lt;(LOOKUP(E860,WKNrListe,Übersicht!$P$7:$P$46))),"JG falsch",""))</f>
        <v/>
      </c>
      <c r="Y860" s="255" t="str">
        <f>IF((A860="")*(B860=""),"",IF(ISERROR(MATCH(E860,WKNrListe,0)),"WK falsch",LOOKUP(E860,WKNrListe,Übersicht!$B$7:$B$46)))</f>
        <v/>
      </c>
      <c r="Z860" s="269" t="str">
        <f>IF(((AJ860=0)*(AH860&lt;&gt;"")*(AK860="-"))+((AJ860&lt;&gt;0)*(AH860&lt;&gt;"")*(AK860="-")),IF(AG860="X",Übersicht!$C$70,Übersicht!$C$69),"-")</f>
        <v>-</v>
      </c>
      <c r="AA860" s="252" t="str">
        <f>IF((($A860="")*($B860=""))+((MID($Y860,1,4)&lt;&gt;"Wahl")*(Deckblatt!$C$14='WK-Vorlagen'!$C$82))+(Deckblatt!$C$14&lt;&gt;'WK-Vorlagen'!$C$82),"",IF(ISERROR(MATCH(VALUE(MID(G860,1,2)),Schwierigkeitsstufen!$G$7:$G$19,0)),"Gerät falsch",LOOKUP(VALUE(MID(G860,1,2)),Schwierigkeitsstufen!$G$7:$G$19,Schwierigkeitsstufen!$H$7:$H$19)))</f>
        <v/>
      </c>
      <c r="AB860" s="250" t="str">
        <f>IF((($A860="")*($B860=""))+((MID($Y860,1,4)&lt;&gt;"Wahl")*(Deckblatt!$C$14='WK-Vorlagen'!$C$82))+(Deckblatt!$C$14&lt;&gt;'WK-Vorlagen'!$C$82),"",IF(ISERROR(MATCH(VALUE(MID(H860,1,2)),Schwierigkeitsstufen!$G$7:$G$19,0)),"Gerät falsch",LOOKUP(VALUE(MID(H860,1,2)),Schwierigkeitsstufen!$G$7:$G$19,Schwierigkeitsstufen!$H$7:$H$19)))</f>
        <v/>
      </c>
      <c r="AC860" s="250" t="str">
        <f>IF((($A860="")*($B860=""))+((MID($Y860,1,4)&lt;&gt;"Wahl")*(Deckblatt!$C$14='WK-Vorlagen'!$C$82))+(Deckblatt!$C$14&lt;&gt;'WK-Vorlagen'!$C$82),"",IF(ISERROR(MATCH(VALUE(MID(I860,1,2)),Schwierigkeitsstufen!$G$7:$G$19,0)),"Gerät falsch",LOOKUP(VALUE(MID(I860,1,2)),Schwierigkeitsstufen!$G$7:$G$19,Schwierigkeitsstufen!$H$7:$H$19)))</f>
        <v/>
      </c>
      <c r="AD860" s="251" t="str">
        <f>IF((($A860="")*($B860=""))+((MID($Y860,1,4)&lt;&gt;"Wahl")*(Deckblatt!$C$14='WK-Vorlagen'!$C$82))+(Deckblatt!$C$14&lt;&gt;'WK-Vorlagen'!$C$82),"",IF(ISERROR(MATCH(VALUE(MID(J860,1,2)),Schwierigkeitsstufen!$G$7:$G$19,0)),"Gerät falsch",LOOKUP(VALUE(MID(J860,1,2)),Schwierigkeitsstufen!$G$7:$G$19,Schwierigkeitsstufen!$H$7:$H$19)))</f>
        <v/>
      </c>
      <c r="AE860" s="211"/>
      <c r="AG860" s="221" t="str">
        <f t="shared" si="117"/>
        <v/>
      </c>
      <c r="AH860" s="222" t="str">
        <f t="shared" si="119"/>
        <v/>
      </c>
      <c r="AI860" s="220">
        <f t="shared" si="124"/>
        <v>4</v>
      </c>
      <c r="AJ860" s="222">
        <f t="shared" si="120"/>
        <v>0</v>
      </c>
      <c r="AK860" s="299" t="str">
        <f>IF(ISERROR(LOOKUP(E860,WKNrListe,Übersicht!$R$7:$R$46)),"-",LOOKUP(E860,WKNrListe,Übersicht!$R$7:$R$46))</f>
        <v>-</v>
      </c>
      <c r="AL860" s="299" t="str">
        <f t="shared" si="123"/>
        <v>-</v>
      </c>
      <c r="AM860" s="303"/>
      <c r="AN860" s="174" t="str">
        <f t="shared" si="116"/>
        <v>Leer</v>
      </c>
    </row>
    <row r="861" spans="1:40" s="174" customFormat="1" ht="15" customHeight="1">
      <c r="A861" s="63"/>
      <c r="B861" s="63"/>
      <c r="C861" s="84"/>
      <c r="D861" s="85"/>
      <c r="E861" s="62"/>
      <c r="F861" s="62"/>
      <c r="G861" s="62"/>
      <c r="H861" s="62"/>
      <c r="I861" s="62"/>
      <c r="J861" s="62"/>
      <c r="K861" s="62"/>
      <c r="L861" s="62"/>
      <c r="M861" s="62"/>
      <c r="N861" s="62"/>
      <c r="O861" s="62"/>
      <c r="P861" s="62"/>
      <c r="Q861" s="62"/>
      <c r="R861" s="62"/>
      <c r="S861" s="258"/>
      <c r="T861" s="248" t="str">
        <f t="shared" si="121"/>
        <v/>
      </c>
      <c r="U861" s="249" t="str">
        <f t="shared" si="122"/>
        <v/>
      </c>
      <c r="V861" s="294" t="str">
        <f t="shared" si="118"/>
        <v/>
      </c>
      <c r="W861" s="294" t="str">
        <f>IF(((E861="")+(F861="")),"",IF(VLOOKUP(F861,Mannschaften!$A$1:$B$54,2,FALSE)&lt;&gt;E861,"Reiter Mannschaften füllen",""))</f>
        <v/>
      </c>
      <c r="X861" s="248" t="str">
        <f>IF(ISBLANK(C861),"",IF((U861&gt;(LOOKUP(E861,WKNrListe,Übersicht!$O$7:$O$46)))+(U861&lt;(LOOKUP(E861,WKNrListe,Übersicht!$P$7:$P$46))),"JG falsch",""))</f>
        <v/>
      </c>
      <c r="Y861" s="255" t="str">
        <f>IF((A861="")*(B861=""),"",IF(ISERROR(MATCH(E861,WKNrListe,0)),"WK falsch",LOOKUP(E861,WKNrListe,Übersicht!$B$7:$B$46)))</f>
        <v/>
      </c>
      <c r="Z861" s="269" t="str">
        <f>IF(((AJ861=0)*(AH861&lt;&gt;"")*(AK861="-"))+((AJ861&lt;&gt;0)*(AH861&lt;&gt;"")*(AK861="-")),IF(AG861="X",Übersicht!$C$70,Übersicht!$C$69),"-")</f>
        <v>-</v>
      </c>
      <c r="AA861" s="252" t="str">
        <f>IF((($A861="")*($B861=""))+((MID($Y861,1,4)&lt;&gt;"Wahl")*(Deckblatt!$C$14='WK-Vorlagen'!$C$82))+(Deckblatt!$C$14&lt;&gt;'WK-Vorlagen'!$C$82),"",IF(ISERROR(MATCH(VALUE(MID(G861,1,2)),Schwierigkeitsstufen!$G$7:$G$19,0)),"Gerät falsch",LOOKUP(VALUE(MID(G861,1,2)),Schwierigkeitsstufen!$G$7:$G$19,Schwierigkeitsstufen!$H$7:$H$19)))</f>
        <v/>
      </c>
      <c r="AB861" s="250" t="str">
        <f>IF((($A861="")*($B861=""))+((MID($Y861,1,4)&lt;&gt;"Wahl")*(Deckblatt!$C$14='WK-Vorlagen'!$C$82))+(Deckblatt!$C$14&lt;&gt;'WK-Vorlagen'!$C$82),"",IF(ISERROR(MATCH(VALUE(MID(H861,1,2)),Schwierigkeitsstufen!$G$7:$G$19,0)),"Gerät falsch",LOOKUP(VALUE(MID(H861,1,2)),Schwierigkeitsstufen!$G$7:$G$19,Schwierigkeitsstufen!$H$7:$H$19)))</f>
        <v/>
      </c>
      <c r="AC861" s="250" t="str">
        <f>IF((($A861="")*($B861=""))+((MID($Y861,1,4)&lt;&gt;"Wahl")*(Deckblatt!$C$14='WK-Vorlagen'!$C$82))+(Deckblatt!$C$14&lt;&gt;'WK-Vorlagen'!$C$82),"",IF(ISERROR(MATCH(VALUE(MID(I861,1,2)),Schwierigkeitsstufen!$G$7:$G$19,0)),"Gerät falsch",LOOKUP(VALUE(MID(I861,1,2)),Schwierigkeitsstufen!$G$7:$G$19,Schwierigkeitsstufen!$H$7:$H$19)))</f>
        <v/>
      </c>
      <c r="AD861" s="251" t="str">
        <f>IF((($A861="")*($B861=""))+((MID($Y861,1,4)&lt;&gt;"Wahl")*(Deckblatt!$C$14='WK-Vorlagen'!$C$82))+(Deckblatt!$C$14&lt;&gt;'WK-Vorlagen'!$C$82),"",IF(ISERROR(MATCH(VALUE(MID(J861,1,2)),Schwierigkeitsstufen!$G$7:$G$19,0)),"Gerät falsch",LOOKUP(VALUE(MID(J861,1,2)),Schwierigkeitsstufen!$G$7:$G$19,Schwierigkeitsstufen!$H$7:$H$19)))</f>
        <v/>
      </c>
      <c r="AE861" s="211"/>
      <c r="AG861" s="221" t="str">
        <f t="shared" si="117"/>
        <v/>
      </c>
      <c r="AH861" s="222" t="str">
        <f t="shared" si="119"/>
        <v/>
      </c>
      <c r="AI861" s="220">
        <f t="shared" si="124"/>
        <v>4</v>
      </c>
      <c r="AJ861" s="222">
        <f t="shared" si="120"/>
        <v>0</v>
      </c>
      <c r="AK861" s="299" t="str">
        <f>IF(ISERROR(LOOKUP(E861,WKNrListe,Übersicht!$R$7:$R$46)),"-",LOOKUP(E861,WKNrListe,Übersicht!$R$7:$R$46))</f>
        <v>-</v>
      </c>
      <c r="AL861" s="299" t="str">
        <f t="shared" si="123"/>
        <v>-</v>
      </c>
      <c r="AM861" s="303"/>
      <c r="AN861" s="174" t="str">
        <f t="shared" si="116"/>
        <v>Leer</v>
      </c>
    </row>
    <row r="862" spans="1:40" s="174" customFormat="1" ht="15" customHeight="1">
      <c r="A862" s="63"/>
      <c r="B862" s="63"/>
      <c r="C862" s="84"/>
      <c r="D862" s="85"/>
      <c r="E862" s="62"/>
      <c r="F862" s="62"/>
      <c r="G862" s="62"/>
      <c r="H862" s="62"/>
      <c r="I862" s="62"/>
      <c r="J862" s="62"/>
      <c r="K862" s="62"/>
      <c r="L862" s="62"/>
      <c r="M862" s="62"/>
      <c r="N862" s="62"/>
      <c r="O862" s="62"/>
      <c r="P862" s="62"/>
      <c r="Q862" s="62"/>
      <c r="R862" s="62"/>
      <c r="S862" s="258"/>
      <c r="T862" s="248" t="str">
        <f t="shared" si="121"/>
        <v/>
      </c>
      <c r="U862" s="249" t="str">
        <f t="shared" si="122"/>
        <v/>
      </c>
      <c r="V862" s="294" t="str">
        <f t="shared" si="118"/>
        <v/>
      </c>
      <c r="W862" s="294" t="str">
        <f>IF(((E862="")+(F862="")),"",IF(VLOOKUP(F862,Mannschaften!$A$1:$B$54,2,FALSE)&lt;&gt;E862,"Reiter Mannschaften füllen",""))</f>
        <v/>
      </c>
      <c r="X862" s="248" t="str">
        <f>IF(ISBLANK(C862),"",IF((U862&gt;(LOOKUP(E862,WKNrListe,Übersicht!$O$7:$O$46)))+(U862&lt;(LOOKUP(E862,WKNrListe,Übersicht!$P$7:$P$46))),"JG falsch",""))</f>
        <v/>
      </c>
      <c r="Y862" s="255" t="str">
        <f>IF((A862="")*(B862=""),"",IF(ISERROR(MATCH(E862,WKNrListe,0)),"WK falsch",LOOKUP(E862,WKNrListe,Übersicht!$B$7:$B$46)))</f>
        <v/>
      </c>
      <c r="Z862" s="269" t="str">
        <f>IF(((AJ862=0)*(AH862&lt;&gt;"")*(AK862="-"))+((AJ862&lt;&gt;0)*(AH862&lt;&gt;"")*(AK862="-")),IF(AG862="X",Übersicht!$C$70,Übersicht!$C$69),"-")</f>
        <v>-</v>
      </c>
      <c r="AA862" s="252" t="str">
        <f>IF((($A862="")*($B862=""))+((MID($Y862,1,4)&lt;&gt;"Wahl")*(Deckblatt!$C$14='WK-Vorlagen'!$C$82))+(Deckblatt!$C$14&lt;&gt;'WK-Vorlagen'!$C$82),"",IF(ISERROR(MATCH(VALUE(MID(G862,1,2)),Schwierigkeitsstufen!$G$7:$G$19,0)),"Gerät falsch",LOOKUP(VALUE(MID(G862,1,2)),Schwierigkeitsstufen!$G$7:$G$19,Schwierigkeitsstufen!$H$7:$H$19)))</f>
        <v/>
      </c>
      <c r="AB862" s="250" t="str">
        <f>IF((($A862="")*($B862=""))+((MID($Y862,1,4)&lt;&gt;"Wahl")*(Deckblatt!$C$14='WK-Vorlagen'!$C$82))+(Deckblatt!$C$14&lt;&gt;'WK-Vorlagen'!$C$82),"",IF(ISERROR(MATCH(VALUE(MID(H862,1,2)),Schwierigkeitsstufen!$G$7:$G$19,0)),"Gerät falsch",LOOKUP(VALUE(MID(H862,1,2)),Schwierigkeitsstufen!$G$7:$G$19,Schwierigkeitsstufen!$H$7:$H$19)))</f>
        <v/>
      </c>
      <c r="AC862" s="250" t="str">
        <f>IF((($A862="")*($B862=""))+((MID($Y862,1,4)&lt;&gt;"Wahl")*(Deckblatt!$C$14='WK-Vorlagen'!$C$82))+(Deckblatt!$C$14&lt;&gt;'WK-Vorlagen'!$C$82),"",IF(ISERROR(MATCH(VALUE(MID(I862,1,2)),Schwierigkeitsstufen!$G$7:$G$19,0)),"Gerät falsch",LOOKUP(VALUE(MID(I862,1,2)),Schwierigkeitsstufen!$G$7:$G$19,Schwierigkeitsstufen!$H$7:$H$19)))</f>
        <v/>
      </c>
      <c r="AD862" s="251" t="str">
        <f>IF((($A862="")*($B862=""))+((MID($Y862,1,4)&lt;&gt;"Wahl")*(Deckblatt!$C$14='WK-Vorlagen'!$C$82))+(Deckblatt!$C$14&lt;&gt;'WK-Vorlagen'!$C$82),"",IF(ISERROR(MATCH(VALUE(MID(J862,1,2)),Schwierigkeitsstufen!$G$7:$G$19,0)),"Gerät falsch",LOOKUP(VALUE(MID(J862,1,2)),Schwierigkeitsstufen!$G$7:$G$19,Schwierigkeitsstufen!$H$7:$H$19)))</f>
        <v/>
      </c>
      <c r="AE862" s="211"/>
      <c r="AG862" s="221" t="str">
        <f t="shared" si="117"/>
        <v/>
      </c>
      <c r="AH862" s="222" t="str">
        <f t="shared" si="119"/>
        <v/>
      </c>
      <c r="AI862" s="220">
        <f t="shared" si="124"/>
        <v>4</v>
      </c>
      <c r="AJ862" s="222">
        <f t="shared" si="120"/>
        <v>0</v>
      </c>
      <c r="AK862" s="299" t="str">
        <f>IF(ISERROR(LOOKUP(E862,WKNrListe,Übersicht!$R$7:$R$46)),"-",LOOKUP(E862,WKNrListe,Übersicht!$R$7:$R$46))</f>
        <v>-</v>
      </c>
      <c r="AL862" s="299" t="str">
        <f t="shared" si="123"/>
        <v>-</v>
      </c>
      <c r="AM862" s="303"/>
      <c r="AN862" s="174" t="str">
        <f t="shared" si="116"/>
        <v>Leer</v>
      </c>
    </row>
    <row r="863" spans="1:40" s="174" customFormat="1" ht="15" customHeight="1">
      <c r="A863" s="63"/>
      <c r="B863" s="63"/>
      <c r="C863" s="84"/>
      <c r="D863" s="85"/>
      <c r="E863" s="62"/>
      <c r="F863" s="62"/>
      <c r="G863" s="62"/>
      <c r="H863" s="62"/>
      <c r="I863" s="62"/>
      <c r="J863" s="62"/>
      <c r="K863" s="62"/>
      <c r="L863" s="62"/>
      <c r="M863" s="62"/>
      <c r="N863" s="62"/>
      <c r="O863" s="62"/>
      <c r="P863" s="62"/>
      <c r="Q863" s="62"/>
      <c r="R863" s="62"/>
      <c r="S863" s="258"/>
      <c r="T863" s="248" t="str">
        <f t="shared" si="121"/>
        <v/>
      </c>
      <c r="U863" s="249" t="str">
        <f t="shared" si="122"/>
        <v/>
      </c>
      <c r="V863" s="294" t="str">
        <f t="shared" si="118"/>
        <v/>
      </c>
      <c r="W863" s="294" t="str">
        <f>IF(((E863="")+(F863="")),"",IF(VLOOKUP(F863,Mannschaften!$A$1:$B$54,2,FALSE)&lt;&gt;E863,"Reiter Mannschaften füllen",""))</f>
        <v/>
      </c>
      <c r="X863" s="248" t="str">
        <f>IF(ISBLANK(C863),"",IF((U863&gt;(LOOKUP(E863,WKNrListe,Übersicht!$O$7:$O$46)))+(U863&lt;(LOOKUP(E863,WKNrListe,Übersicht!$P$7:$P$46))),"JG falsch",""))</f>
        <v/>
      </c>
      <c r="Y863" s="255" t="str">
        <f>IF((A863="")*(B863=""),"",IF(ISERROR(MATCH(E863,WKNrListe,0)),"WK falsch",LOOKUP(E863,WKNrListe,Übersicht!$B$7:$B$46)))</f>
        <v/>
      </c>
      <c r="Z863" s="269" t="str">
        <f>IF(((AJ863=0)*(AH863&lt;&gt;"")*(AK863="-"))+((AJ863&lt;&gt;0)*(AH863&lt;&gt;"")*(AK863="-")),IF(AG863="X",Übersicht!$C$70,Übersicht!$C$69),"-")</f>
        <v>-</v>
      </c>
      <c r="AA863" s="252" t="str">
        <f>IF((($A863="")*($B863=""))+((MID($Y863,1,4)&lt;&gt;"Wahl")*(Deckblatt!$C$14='WK-Vorlagen'!$C$82))+(Deckblatt!$C$14&lt;&gt;'WK-Vorlagen'!$C$82),"",IF(ISERROR(MATCH(VALUE(MID(G863,1,2)),Schwierigkeitsstufen!$G$7:$G$19,0)),"Gerät falsch",LOOKUP(VALUE(MID(G863,1,2)),Schwierigkeitsstufen!$G$7:$G$19,Schwierigkeitsstufen!$H$7:$H$19)))</f>
        <v/>
      </c>
      <c r="AB863" s="250" t="str">
        <f>IF((($A863="")*($B863=""))+((MID($Y863,1,4)&lt;&gt;"Wahl")*(Deckblatt!$C$14='WK-Vorlagen'!$C$82))+(Deckblatt!$C$14&lt;&gt;'WK-Vorlagen'!$C$82),"",IF(ISERROR(MATCH(VALUE(MID(H863,1,2)),Schwierigkeitsstufen!$G$7:$G$19,0)),"Gerät falsch",LOOKUP(VALUE(MID(H863,1,2)),Schwierigkeitsstufen!$G$7:$G$19,Schwierigkeitsstufen!$H$7:$H$19)))</f>
        <v/>
      </c>
      <c r="AC863" s="250" t="str">
        <f>IF((($A863="")*($B863=""))+((MID($Y863,1,4)&lt;&gt;"Wahl")*(Deckblatt!$C$14='WK-Vorlagen'!$C$82))+(Deckblatt!$C$14&lt;&gt;'WK-Vorlagen'!$C$82),"",IF(ISERROR(MATCH(VALUE(MID(I863,1,2)),Schwierigkeitsstufen!$G$7:$G$19,0)),"Gerät falsch",LOOKUP(VALUE(MID(I863,1,2)),Schwierigkeitsstufen!$G$7:$G$19,Schwierigkeitsstufen!$H$7:$H$19)))</f>
        <v/>
      </c>
      <c r="AD863" s="251" t="str">
        <f>IF((($A863="")*($B863=""))+((MID($Y863,1,4)&lt;&gt;"Wahl")*(Deckblatt!$C$14='WK-Vorlagen'!$C$82))+(Deckblatt!$C$14&lt;&gt;'WK-Vorlagen'!$C$82),"",IF(ISERROR(MATCH(VALUE(MID(J863,1,2)),Schwierigkeitsstufen!$G$7:$G$19,0)),"Gerät falsch",LOOKUP(VALUE(MID(J863,1,2)),Schwierigkeitsstufen!$G$7:$G$19,Schwierigkeitsstufen!$H$7:$H$19)))</f>
        <v/>
      </c>
      <c r="AE863" s="211"/>
      <c r="AG863" s="221" t="str">
        <f t="shared" si="117"/>
        <v/>
      </c>
      <c r="AH863" s="222" t="str">
        <f t="shared" si="119"/>
        <v/>
      </c>
      <c r="AI863" s="220">
        <f t="shared" si="124"/>
        <v>4</v>
      </c>
      <c r="AJ863" s="222">
        <f t="shared" si="120"/>
        <v>0</v>
      </c>
      <c r="AK863" s="299" t="str">
        <f>IF(ISERROR(LOOKUP(E863,WKNrListe,Übersicht!$R$7:$R$46)),"-",LOOKUP(E863,WKNrListe,Übersicht!$R$7:$R$46))</f>
        <v>-</v>
      </c>
      <c r="AL863" s="299" t="str">
        <f t="shared" si="123"/>
        <v>-</v>
      </c>
      <c r="AM863" s="303"/>
      <c r="AN863" s="174" t="str">
        <f t="shared" si="116"/>
        <v>Leer</v>
      </c>
    </row>
    <row r="864" spans="1:40" s="174" customFormat="1" ht="15" customHeight="1">
      <c r="A864" s="63"/>
      <c r="B864" s="63"/>
      <c r="C864" s="84"/>
      <c r="D864" s="85"/>
      <c r="E864" s="62"/>
      <c r="F864" s="62"/>
      <c r="G864" s="62"/>
      <c r="H864" s="62"/>
      <c r="I864" s="62"/>
      <c r="J864" s="62"/>
      <c r="K864" s="62"/>
      <c r="L864" s="62"/>
      <c r="M864" s="62"/>
      <c r="N864" s="62"/>
      <c r="O864" s="62"/>
      <c r="P864" s="62"/>
      <c r="Q864" s="62"/>
      <c r="R864" s="62"/>
      <c r="S864" s="258"/>
      <c r="T864" s="248" t="str">
        <f t="shared" si="121"/>
        <v/>
      </c>
      <c r="U864" s="249" t="str">
        <f t="shared" si="122"/>
        <v/>
      </c>
      <c r="V864" s="294" t="str">
        <f t="shared" si="118"/>
        <v/>
      </c>
      <c r="W864" s="294" t="str">
        <f>IF(((E864="")+(F864="")),"",IF(VLOOKUP(F864,Mannschaften!$A$1:$B$54,2,FALSE)&lt;&gt;E864,"Reiter Mannschaften füllen",""))</f>
        <v/>
      </c>
      <c r="X864" s="248" t="str">
        <f>IF(ISBLANK(C864),"",IF((U864&gt;(LOOKUP(E864,WKNrListe,Übersicht!$O$7:$O$46)))+(U864&lt;(LOOKUP(E864,WKNrListe,Übersicht!$P$7:$P$46))),"JG falsch",""))</f>
        <v/>
      </c>
      <c r="Y864" s="255" t="str">
        <f>IF((A864="")*(B864=""),"",IF(ISERROR(MATCH(E864,WKNrListe,0)),"WK falsch",LOOKUP(E864,WKNrListe,Übersicht!$B$7:$B$46)))</f>
        <v/>
      </c>
      <c r="Z864" s="269" t="str">
        <f>IF(((AJ864=0)*(AH864&lt;&gt;"")*(AK864="-"))+((AJ864&lt;&gt;0)*(AH864&lt;&gt;"")*(AK864="-")),IF(AG864="X",Übersicht!$C$70,Übersicht!$C$69),"-")</f>
        <v>-</v>
      </c>
      <c r="AA864" s="252" t="str">
        <f>IF((($A864="")*($B864=""))+((MID($Y864,1,4)&lt;&gt;"Wahl")*(Deckblatt!$C$14='WK-Vorlagen'!$C$82))+(Deckblatt!$C$14&lt;&gt;'WK-Vorlagen'!$C$82),"",IF(ISERROR(MATCH(VALUE(MID(G864,1,2)),Schwierigkeitsstufen!$G$7:$G$19,0)),"Gerät falsch",LOOKUP(VALUE(MID(G864,1,2)),Schwierigkeitsstufen!$G$7:$G$19,Schwierigkeitsstufen!$H$7:$H$19)))</f>
        <v/>
      </c>
      <c r="AB864" s="250" t="str">
        <f>IF((($A864="")*($B864=""))+((MID($Y864,1,4)&lt;&gt;"Wahl")*(Deckblatt!$C$14='WK-Vorlagen'!$C$82))+(Deckblatt!$C$14&lt;&gt;'WK-Vorlagen'!$C$82),"",IF(ISERROR(MATCH(VALUE(MID(H864,1,2)),Schwierigkeitsstufen!$G$7:$G$19,0)),"Gerät falsch",LOOKUP(VALUE(MID(H864,1,2)),Schwierigkeitsstufen!$G$7:$G$19,Schwierigkeitsstufen!$H$7:$H$19)))</f>
        <v/>
      </c>
      <c r="AC864" s="250" t="str">
        <f>IF((($A864="")*($B864=""))+((MID($Y864,1,4)&lt;&gt;"Wahl")*(Deckblatt!$C$14='WK-Vorlagen'!$C$82))+(Deckblatt!$C$14&lt;&gt;'WK-Vorlagen'!$C$82),"",IF(ISERROR(MATCH(VALUE(MID(I864,1,2)),Schwierigkeitsstufen!$G$7:$G$19,0)),"Gerät falsch",LOOKUP(VALUE(MID(I864,1,2)),Schwierigkeitsstufen!$G$7:$G$19,Schwierigkeitsstufen!$H$7:$H$19)))</f>
        <v/>
      </c>
      <c r="AD864" s="251" t="str">
        <f>IF((($A864="")*($B864=""))+((MID($Y864,1,4)&lt;&gt;"Wahl")*(Deckblatt!$C$14='WK-Vorlagen'!$C$82))+(Deckblatt!$C$14&lt;&gt;'WK-Vorlagen'!$C$82),"",IF(ISERROR(MATCH(VALUE(MID(J864,1,2)),Schwierigkeitsstufen!$G$7:$G$19,0)),"Gerät falsch",LOOKUP(VALUE(MID(J864,1,2)),Schwierigkeitsstufen!$G$7:$G$19,Schwierigkeitsstufen!$H$7:$H$19)))</f>
        <v/>
      </c>
      <c r="AE864" s="211"/>
      <c r="AG864" s="221" t="str">
        <f t="shared" si="117"/>
        <v/>
      </c>
      <c r="AH864" s="222" t="str">
        <f t="shared" si="119"/>
        <v/>
      </c>
      <c r="AI864" s="220">
        <f t="shared" si="124"/>
        <v>4</v>
      </c>
      <c r="AJ864" s="222">
        <f t="shared" si="120"/>
        <v>0</v>
      </c>
      <c r="AK864" s="299" t="str">
        <f>IF(ISERROR(LOOKUP(E864,WKNrListe,Übersicht!$R$7:$R$46)),"-",LOOKUP(E864,WKNrListe,Übersicht!$R$7:$R$46))</f>
        <v>-</v>
      </c>
      <c r="AL864" s="299" t="str">
        <f t="shared" si="123"/>
        <v>-</v>
      </c>
      <c r="AM864" s="303"/>
      <c r="AN864" s="174" t="str">
        <f t="shared" si="116"/>
        <v>Leer</v>
      </c>
    </row>
    <row r="865" spans="1:40" s="174" customFormat="1" ht="15" customHeight="1">
      <c r="A865" s="63"/>
      <c r="B865" s="63"/>
      <c r="C865" s="84"/>
      <c r="D865" s="85"/>
      <c r="E865" s="62"/>
      <c r="F865" s="62"/>
      <c r="G865" s="62"/>
      <c r="H865" s="62"/>
      <c r="I865" s="62"/>
      <c r="J865" s="62"/>
      <c r="K865" s="62"/>
      <c r="L865" s="62"/>
      <c r="M865" s="62"/>
      <c r="N865" s="62"/>
      <c r="O865" s="62"/>
      <c r="P865" s="62"/>
      <c r="Q865" s="62"/>
      <c r="R865" s="62"/>
      <c r="S865" s="258"/>
      <c r="T865" s="248" t="str">
        <f t="shared" si="121"/>
        <v/>
      </c>
      <c r="U865" s="249" t="str">
        <f t="shared" si="122"/>
        <v/>
      </c>
      <c r="V865" s="294" t="str">
        <f t="shared" si="118"/>
        <v/>
      </c>
      <c r="W865" s="294" t="str">
        <f>IF(((E865="")+(F865="")),"",IF(VLOOKUP(F865,Mannschaften!$A$1:$B$54,2,FALSE)&lt;&gt;E865,"Reiter Mannschaften füllen",""))</f>
        <v/>
      </c>
      <c r="X865" s="248" t="str">
        <f>IF(ISBLANK(C865),"",IF((U865&gt;(LOOKUP(E865,WKNrListe,Übersicht!$O$7:$O$46)))+(U865&lt;(LOOKUP(E865,WKNrListe,Übersicht!$P$7:$P$46))),"JG falsch",""))</f>
        <v/>
      </c>
      <c r="Y865" s="255" t="str">
        <f>IF((A865="")*(B865=""),"",IF(ISERROR(MATCH(E865,WKNrListe,0)),"WK falsch",LOOKUP(E865,WKNrListe,Übersicht!$B$7:$B$46)))</f>
        <v/>
      </c>
      <c r="Z865" s="269" t="str">
        <f>IF(((AJ865=0)*(AH865&lt;&gt;"")*(AK865="-"))+((AJ865&lt;&gt;0)*(AH865&lt;&gt;"")*(AK865="-")),IF(AG865="X",Übersicht!$C$70,Übersicht!$C$69),"-")</f>
        <v>-</v>
      </c>
      <c r="AA865" s="252" t="str">
        <f>IF((($A865="")*($B865=""))+((MID($Y865,1,4)&lt;&gt;"Wahl")*(Deckblatt!$C$14='WK-Vorlagen'!$C$82))+(Deckblatt!$C$14&lt;&gt;'WK-Vorlagen'!$C$82),"",IF(ISERROR(MATCH(VALUE(MID(G865,1,2)),Schwierigkeitsstufen!$G$7:$G$19,0)),"Gerät falsch",LOOKUP(VALUE(MID(G865,1,2)),Schwierigkeitsstufen!$G$7:$G$19,Schwierigkeitsstufen!$H$7:$H$19)))</f>
        <v/>
      </c>
      <c r="AB865" s="250" t="str">
        <f>IF((($A865="")*($B865=""))+((MID($Y865,1,4)&lt;&gt;"Wahl")*(Deckblatt!$C$14='WK-Vorlagen'!$C$82))+(Deckblatt!$C$14&lt;&gt;'WK-Vorlagen'!$C$82),"",IF(ISERROR(MATCH(VALUE(MID(H865,1,2)),Schwierigkeitsstufen!$G$7:$G$19,0)),"Gerät falsch",LOOKUP(VALUE(MID(H865,1,2)),Schwierigkeitsstufen!$G$7:$G$19,Schwierigkeitsstufen!$H$7:$H$19)))</f>
        <v/>
      </c>
      <c r="AC865" s="250" t="str">
        <f>IF((($A865="")*($B865=""))+((MID($Y865,1,4)&lt;&gt;"Wahl")*(Deckblatt!$C$14='WK-Vorlagen'!$C$82))+(Deckblatt!$C$14&lt;&gt;'WK-Vorlagen'!$C$82),"",IF(ISERROR(MATCH(VALUE(MID(I865,1,2)),Schwierigkeitsstufen!$G$7:$G$19,0)),"Gerät falsch",LOOKUP(VALUE(MID(I865,1,2)),Schwierigkeitsstufen!$G$7:$G$19,Schwierigkeitsstufen!$H$7:$H$19)))</f>
        <v/>
      </c>
      <c r="AD865" s="251" t="str">
        <f>IF((($A865="")*($B865=""))+((MID($Y865,1,4)&lt;&gt;"Wahl")*(Deckblatt!$C$14='WK-Vorlagen'!$C$82))+(Deckblatt!$C$14&lt;&gt;'WK-Vorlagen'!$C$82),"",IF(ISERROR(MATCH(VALUE(MID(J865,1,2)),Schwierigkeitsstufen!$G$7:$G$19,0)),"Gerät falsch",LOOKUP(VALUE(MID(J865,1,2)),Schwierigkeitsstufen!$G$7:$G$19,Schwierigkeitsstufen!$H$7:$H$19)))</f>
        <v/>
      </c>
      <c r="AE865" s="211"/>
      <c r="AG865" s="221" t="str">
        <f t="shared" si="117"/>
        <v/>
      </c>
      <c r="AH865" s="222" t="str">
        <f t="shared" si="119"/>
        <v/>
      </c>
      <c r="AI865" s="220">
        <f t="shared" si="124"/>
        <v>4</v>
      </c>
      <c r="AJ865" s="222">
        <f t="shared" si="120"/>
        <v>0</v>
      </c>
      <c r="AK865" s="299" t="str">
        <f>IF(ISERROR(LOOKUP(E865,WKNrListe,Übersicht!$R$7:$R$46)),"-",LOOKUP(E865,WKNrListe,Übersicht!$R$7:$R$46))</f>
        <v>-</v>
      </c>
      <c r="AL865" s="299" t="str">
        <f t="shared" si="123"/>
        <v>-</v>
      </c>
      <c r="AM865" s="303"/>
      <c r="AN865" s="174" t="str">
        <f t="shared" si="116"/>
        <v>Leer</v>
      </c>
    </row>
    <row r="866" spans="1:40" s="174" customFormat="1" ht="15" customHeight="1">
      <c r="A866" s="63"/>
      <c r="B866" s="63"/>
      <c r="C866" s="84"/>
      <c r="D866" s="85"/>
      <c r="E866" s="62"/>
      <c r="F866" s="62"/>
      <c r="G866" s="62"/>
      <c r="H866" s="62"/>
      <c r="I866" s="62"/>
      <c r="J866" s="62"/>
      <c r="K866" s="62"/>
      <c r="L866" s="62"/>
      <c r="M866" s="62"/>
      <c r="N866" s="62"/>
      <c r="O866" s="62"/>
      <c r="P866" s="62"/>
      <c r="Q866" s="62"/>
      <c r="R866" s="62"/>
      <c r="S866" s="258"/>
      <c r="T866" s="248" t="str">
        <f t="shared" si="121"/>
        <v/>
      </c>
      <c r="U866" s="249" t="str">
        <f t="shared" si="122"/>
        <v/>
      </c>
      <c r="V866" s="294" t="str">
        <f t="shared" si="118"/>
        <v/>
      </c>
      <c r="W866" s="294" t="str">
        <f>IF(((E866="")+(F866="")),"",IF(VLOOKUP(F866,Mannschaften!$A$1:$B$54,2,FALSE)&lt;&gt;E866,"Reiter Mannschaften füllen",""))</f>
        <v/>
      </c>
      <c r="X866" s="248" t="str">
        <f>IF(ISBLANK(C866),"",IF((U866&gt;(LOOKUP(E866,WKNrListe,Übersicht!$O$7:$O$46)))+(U866&lt;(LOOKUP(E866,WKNrListe,Übersicht!$P$7:$P$46))),"JG falsch",""))</f>
        <v/>
      </c>
      <c r="Y866" s="255" t="str">
        <f>IF((A866="")*(B866=""),"",IF(ISERROR(MATCH(E866,WKNrListe,0)),"WK falsch",LOOKUP(E866,WKNrListe,Übersicht!$B$7:$B$46)))</f>
        <v/>
      </c>
      <c r="Z866" s="269" t="str">
        <f>IF(((AJ866=0)*(AH866&lt;&gt;"")*(AK866="-"))+((AJ866&lt;&gt;0)*(AH866&lt;&gt;"")*(AK866="-")),IF(AG866="X",Übersicht!$C$70,Übersicht!$C$69),"-")</f>
        <v>-</v>
      </c>
      <c r="AA866" s="252" t="str">
        <f>IF((($A866="")*($B866=""))+((MID($Y866,1,4)&lt;&gt;"Wahl")*(Deckblatt!$C$14='WK-Vorlagen'!$C$82))+(Deckblatt!$C$14&lt;&gt;'WK-Vorlagen'!$C$82),"",IF(ISERROR(MATCH(VALUE(MID(G866,1,2)),Schwierigkeitsstufen!$G$7:$G$19,0)),"Gerät falsch",LOOKUP(VALUE(MID(G866,1,2)),Schwierigkeitsstufen!$G$7:$G$19,Schwierigkeitsstufen!$H$7:$H$19)))</f>
        <v/>
      </c>
      <c r="AB866" s="250" t="str">
        <f>IF((($A866="")*($B866=""))+((MID($Y866,1,4)&lt;&gt;"Wahl")*(Deckblatt!$C$14='WK-Vorlagen'!$C$82))+(Deckblatt!$C$14&lt;&gt;'WK-Vorlagen'!$C$82),"",IF(ISERROR(MATCH(VALUE(MID(H866,1,2)),Schwierigkeitsstufen!$G$7:$G$19,0)),"Gerät falsch",LOOKUP(VALUE(MID(H866,1,2)),Schwierigkeitsstufen!$G$7:$G$19,Schwierigkeitsstufen!$H$7:$H$19)))</f>
        <v/>
      </c>
      <c r="AC866" s="250" t="str">
        <f>IF((($A866="")*($B866=""))+((MID($Y866,1,4)&lt;&gt;"Wahl")*(Deckblatt!$C$14='WK-Vorlagen'!$C$82))+(Deckblatt!$C$14&lt;&gt;'WK-Vorlagen'!$C$82),"",IF(ISERROR(MATCH(VALUE(MID(I866,1,2)),Schwierigkeitsstufen!$G$7:$G$19,0)),"Gerät falsch",LOOKUP(VALUE(MID(I866,1,2)),Schwierigkeitsstufen!$G$7:$G$19,Schwierigkeitsstufen!$H$7:$H$19)))</f>
        <v/>
      </c>
      <c r="AD866" s="251" t="str">
        <f>IF((($A866="")*($B866=""))+((MID($Y866,1,4)&lt;&gt;"Wahl")*(Deckblatt!$C$14='WK-Vorlagen'!$C$82))+(Deckblatt!$C$14&lt;&gt;'WK-Vorlagen'!$C$82),"",IF(ISERROR(MATCH(VALUE(MID(J866,1,2)),Schwierigkeitsstufen!$G$7:$G$19,0)),"Gerät falsch",LOOKUP(VALUE(MID(J866,1,2)),Schwierigkeitsstufen!$G$7:$G$19,Schwierigkeitsstufen!$H$7:$H$19)))</f>
        <v/>
      </c>
      <c r="AE866" s="211"/>
      <c r="AG866" s="221" t="str">
        <f t="shared" si="117"/>
        <v/>
      </c>
      <c r="AH866" s="222" t="str">
        <f t="shared" si="119"/>
        <v/>
      </c>
      <c r="AI866" s="220">
        <f t="shared" si="124"/>
        <v>4</v>
      </c>
      <c r="AJ866" s="222">
        <f t="shared" si="120"/>
        <v>0</v>
      </c>
      <c r="AK866" s="299" t="str">
        <f>IF(ISERROR(LOOKUP(E866,WKNrListe,Übersicht!$R$7:$R$46)),"-",LOOKUP(E866,WKNrListe,Übersicht!$R$7:$R$46))</f>
        <v>-</v>
      </c>
      <c r="AL866" s="299" t="str">
        <f t="shared" si="123"/>
        <v>-</v>
      </c>
      <c r="AM866" s="303"/>
      <c r="AN866" s="174" t="str">
        <f t="shared" si="116"/>
        <v>Leer</v>
      </c>
    </row>
    <row r="867" spans="1:40" s="174" customFormat="1" ht="15" customHeight="1">
      <c r="A867" s="63"/>
      <c r="B867" s="63"/>
      <c r="C867" s="84"/>
      <c r="D867" s="85"/>
      <c r="E867" s="62"/>
      <c r="F867" s="62"/>
      <c r="G867" s="62"/>
      <c r="H867" s="62"/>
      <c r="I867" s="62"/>
      <c r="J867" s="62"/>
      <c r="K867" s="62"/>
      <c r="L867" s="62"/>
      <c r="M867" s="62"/>
      <c r="N867" s="62"/>
      <c r="O867" s="62"/>
      <c r="P867" s="62"/>
      <c r="Q867" s="62"/>
      <c r="R867" s="62"/>
      <c r="S867" s="258"/>
      <c r="T867" s="248" t="str">
        <f t="shared" si="121"/>
        <v/>
      </c>
      <c r="U867" s="249" t="str">
        <f t="shared" si="122"/>
        <v/>
      </c>
      <c r="V867" s="294" t="str">
        <f t="shared" si="118"/>
        <v/>
      </c>
      <c r="W867" s="294" t="str">
        <f>IF(((E867="")+(F867="")),"",IF(VLOOKUP(F867,Mannschaften!$A$1:$B$54,2,FALSE)&lt;&gt;E867,"Reiter Mannschaften füllen",""))</f>
        <v/>
      </c>
      <c r="X867" s="248" t="str">
        <f>IF(ISBLANK(C867),"",IF((U867&gt;(LOOKUP(E867,WKNrListe,Übersicht!$O$7:$O$46)))+(U867&lt;(LOOKUP(E867,WKNrListe,Übersicht!$P$7:$P$46))),"JG falsch",""))</f>
        <v/>
      </c>
      <c r="Y867" s="255" t="str">
        <f>IF((A867="")*(B867=""),"",IF(ISERROR(MATCH(E867,WKNrListe,0)),"WK falsch",LOOKUP(E867,WKNrListe,Übersicht!$B$7:$B$46)))</f>
        <v/>
      </c>
      <c r="Z867" s="269" t="str">
        <f>IF(((AJ867=0)*(AH867&lt;&gt;"")*(AK867="-"))+((AJ867&lt;&gt;0)*(AH867&lt;&gt;"")*(AK867="-")),IF(AG867="X",Übersicht!$C$70,Übersicht!$C$69),"-")</f>
        <v>-</v>
      </c>
      <c r="AA867" s="252" t="str">
        <f>IF((($A867="")*($B867=""))+((MID($Y867,1,4)&lt;&gt;"Wahl")*(Deckblatt!$C$14='WK-Vorlagen'!$C$82))+(Deckblatt!$C$14&lt;&gt;'WK-Vorlagen'!$C$82),"",IF(ISERROR(MATCH(VALUE(MID(G867,1,2)),Schwierigkeitsstufen!$G$7:$G$19,0)),"Gerät falsch",LOOKUP(VALUE(MID(G867,1,2)),Schwierigkeitsstufen!$G$7:$G$19,Schwierigkeitsstufen!$H$7:$H$19)))</f>
        <v/>
      </c>
      <c r="AB867" s="250" t="str">
        <f>IF((($A867="")*($B867=""))+((MID($Y867,1,4)&lt;&gt;"Wahl")*(Deckblatt!$C$14='WK-Vorlagen'!$C$82))+(Deckblatt!$C$14&lt;&gt;'WK-Vorlagen'!$C$82),"",IF(ISERROR(MATCH(VALUE(MID(H867,1,2)),Schwierigkeitsstufen!$G$7:$G$19,0)),"Gerät falsch",LOOKUP(VALUE(MID(H867,1,2)),Schwierigkeitsstufen!$G$7:$G$19,Schwierigkeitsstufen!$H$7:$H$19)))</f>
        <v/>
      </c>
      <c r="AC867" s="250" t="str">
        <f>IF((($A867="")*($B867=""))+((MID($Y867,1,4)&lt;&gt;"Wahl")*(Deckblatt!$C$14='WK-Vorlagen'!$C$82))+(Deckblatt!$C$14&lt;&gt;'WK-Vorlagen'!$C$82),"",IF(ISERROR(MATCH(VALUE(MID(I867,1,2)),Schwierigkeitsstufen!$G$7:$G$19,0)),"Gerät falsch",LOOKUP(VALUE(MID(I867,1,2)),Schwierigkeitsstufen!$G$7:$G$19,Schwierigkeitsstufen!$H$7:$H$19)))</f>
        <v/>
      </c>
      <c r="AD867" s="251" t="str">
        <f>IF((($A867="")*($B867=""))+((MID($Y867,1,4)&lt;&gt;"Wahl")*(Deckblatt!$C$14='WK-Vorlagen'!$C$82))+(Deckblatt!$C$14&lt;&gt;'WK-Vorlagen'!$C$82),"",IF(ISERROR(MATCH(VALUE(MID(J867,1,2)),Schwierigkeitsstufen!$G$7:$G$19,0)),"Gerät falsch",LOOKUP(VALUE(MID(J867,1,2)),Schwierigkeitsstufen!$G$7:$G$19,Schwierigkeitsstufen!$H$7:$H$19)))</f>
        <v/>
      </c>
      <c r="AE867" s="211"/>
      <c r="AG867" s="221" t="str">
        <f t="shared" si="117"/>
        <v/>
      </c>
      <c r="AH867" s="222" t="str">
        <f t="shared" si="119"/>
        <v/>
      </c>
      <c r="AI867" s="220">
        <f t="shared" si="124"/>
        <v>4</v>
      </c>
      <c r="AJ867" s="222">
        <f t="shared" si="120"/>
        <v>0</v>
      </c>
      <c r="AK867" s="299" t="str">
        <f>IF(ISERROR(LOOKUP(E867,WKNrListe,Übersicht!$R$7:$R$46)),"-",LOOKUP(E867,WKNrListe,Übersicht!$R$7:$R$46))</f>
        <v>-</v>
      </c>
      <c r="AL867" s="299" t="str">
        <f t="shared" si="123"/>
        <v>-</v>
      </c>
      <c r="AM867" s="303"/>
      <c r="AN867" s="174" t="str">
        <f t="shared" si="116"/>
        <v>Leer</v>
      </c>
    </row>
    <row r="868" spans="1:40" s="174" customFormat="1" ht="15" customHeight="1">
      <c r="A868" s="63"/>
      <c r="B868" s="63"/>
      <c r="C868" s="84"/>
      <c r="D868" s="85"/>
      <c r="E868" s="62"/>
      <c r="F868" s="62"/>
      <c r="G868" s="62"/>
      <c r="H868" s="62"/>
      <c r="I868" s="62"/>
      <c r="J868" s="62"/>
      <c r="K868" s="62"/>
      <c r="L868" s="62"/>
      <c r="M868" s="62"/>
      <c r="N868" s="62"/>
      <c r="O868" s="62"/>
      <c r="P868" s="62"/>
      <c r="Q868" s="62"/>
      <c r="R868" s="62"/>
      <c r="S868" s="258"/>
      <c r="T868" s="248" t="str">
        <f t="shared" si="121"/>
        <v/>
      </c>
      <c r="U868" s="249" t="str">
        <f t="shared" si="122"/>
        <v/>
      </c>
      <c r="V868" s="294" t="str">
        <f t="shared" si="118"/>
        <v/>
      </c>
      <c r="W868" s="294" t="str">
        <f>IF(((E868="")+(F868="")),"",IF(VLOOKUP(F868,Mannschaften!$A$1:$B$54,2,FALSE)&lt;&gt;E868,"Reiter Mannschaften füllen",""))</f>
        <v/>
      </c>
      <c r="X868" s="248" t="str">
        <f>IF(ISBLANK(C868),"",IF((U868&gt;(LOOKUP(E868,WKNrListe,Übersicht!$O$7:$O$46)))+(U868&lt;(LOOKUP(E868,WKNrListe,Übersicht!$P$7:$P$46))),"JG falsch",""))</f>
        <v/>
      </c>
      <c r="Y868" s="255" t="str">
        <f>IF((A868="")*(B868=""),"",IF(ISERROR(MATCH(E868,WKNrListe,0)),"WK falsch",LOOKUP(E868,WKNrListe,Übersicht!$B$7:$B$46)))</f>
        <v/>
      </c>
      <c r="Z868" s="269" t="str">
        <f>IF(((AJ868=0)*(AH868&lt;&gt;"")*(AK868="-"))+((AJ868&lt;&gt;0)*(AH868&lt;&gt;"")*(AK868="-")),IF(AG868="X",Übersicht!$C$70,Übersicht!$C$69),"-")</f>
        <v>-</v>
      </c>
      <c r="AA868" s="252" t="str">
        <f>IF((($A868="")*($B868=""))+((MID($Y868,1,4)&lt;&gt;"Wahl")*(Deckblatt!$C$14='WK-Vorlagen'!$C$82))+(Deckblatt!$C$14&lt;&gt;'WK-Vorlagen'!$C$82),"",IF(ISERROR(MATCH(VALUE(MID(G868,1,2)),Schwierigkeitsstufen!$G$7:$G$19,0)),"Gerät falsch",LOOKUP(VALUE(MID(G868,1,2)),Schwierigkeitsstufen!$G$7:$G$19,Schwierigkeitsstufen!$H$7:$H$19)))</f>
        <v/>
      </c>
      <c r="AB868" s="250" t="str">
        <f>IF((($A868="")*($B868=""))+((MID($Y868,1,4)&lt;&gt;"Wahl")*(Deckblatt!$C$14='WK-Vorlagen'!$C$82))+(Deckblatt!$C$14&lt;&gt;'WK-Vorlagen'!$C$82),"",IF(ISERROR(MATCH(VALUE(MID(H868,1,2)),Schwierigkeitsstufen!$G$7:$G$19,0)),"Gerät falsch",LOOKUP(VALUE(MID(H868,1,2)),Schwierigkeitsstufen!$G$7:$G$19,Schwierigkeitsstufen!$H$7:$H$19)))</f>
        <v/>
      </c>
      <c r="AC868" s="250" t="str">
        <f>IF((($A868="")*($B868=""))+((MID($Y868,1,4)&lt;&gt;"Wahl")*(Deckblatt!$C$14='WK-Vorlagen'!$C$82))+(Deckblatt!$C$14&lt;&gt;'WK-Vorlagen'!$C$82),"",IF(ISERROR(MATCH(VALUE(MID(I868,1,2)),Schwierigkeitsstufen!$G$7:$G$19,0)),"Gerät falsch",LOOKUP(VALUE(MID(I868,1,2)),Schwierigkeitsstufen!$G$7:$G$19,Schwierigkeitsstufen!$H$7:$H$19)))</f>
        <v/>
      </c>
      <c r="AD868" s="251" t="str">
        <f>IF((($A868="")*($B868=""))+((MID($Y868,1,4)&lt;&gt;"Wahl")*(Deckblatt!$C$14='WK-Vorlagen'!$C$82))+(Deckblatt!$C$14&lt;&gt;'WK-Vorlagen'!$C$82),"",IF(ISERROR(MATCH(VALUE(MID(J868,1,2)),Schwierigkeitsstufen!$G$7:$G$19,0)),"Gerät falsch",LOOKUP(VALUE(MID(J868,1,2)),Schwierigkeitsstufen!$G$7:$G$19,Schwierigkeitsstufen!$H$7:$H$19)))</f>
        <v/>
      </c>
      <c r="AE868" s="211"/>
      <c r="AG868" s="221" t="str">
        <f t="shared" si="117"/>
        <v/>
      </c>
      <c r="AH868" s="222" t="str">
        <f t="shared" si="119"/>
        <v/>
      </c>
      <c r="AI868" s="220">
        <f t="shared" si="124"/>
        <v>4</v>
      </c>
      <c r="AJ868" s="222">
        <f t="shared" si="120"/>
        <v>0</v>
      </c>
      <c r="AK868" s="299" t="str">
        <f>IF(ISERROR(LOOKUP(E868,WKNrListe,Übersicht!$R$7:$R$46)),"-",LOOKUP(E868,WKNrListe,Übersicht!$R$7:$R$46))</f>
        <v>-</v>
      </c>
      <c r="AL868" s="299" t="str">
        <f t="shared" si="123"/>
        <v>-</v>
      </c>
      <c r="AM868" s="303"/>
      <c r="AN868" s="174" t="str">
        <f t="shared" si="116"/>
        <v>Leer</v>
      </c>
    </row>
    <row r="869" spans="1:40" s="174" customFormat="1" ht="15" customHeight="1">
      <c r="A869" s="63"/>
      <c r="B869" s="63"/>
      <c r="C869" s="84"/>
      <c r="D869" s="85"/>
      <c r="E869" s="62"/>
      <c r="F869" s="62"/>
      <c r="G869" s="62"/>
      <c r="H869" s="62"/>
      <c r="I869" s="62"/>
      <c r="J869" s="62"/>
      <c r="K869" s="62"/>
      <c r="L869" s="62"/>
      <c r="M869" s="62"/>
      <c r="N869" s="62"/>
      <c r="O869" s="62"/>
      <c r="P869" s="62"/>
      <c r="Q869" s="62"/>
      <c r="R869" s="62"/>
      <c r="S869" s="258"/>
      <c r="T869" s="248" t="str">
        <f t="shared" si="121"/>
        <v/>
      </c>
      <c r="U869" s="249" t="str">
        <f t="shared" si="122"/>
        <v/>
      </c>
      <c r="V869" s="294" t="str">
        <f t="shared" si="118"/>
        <v/>
      </c>
      <c r="W869" s="294" t="str">
        <f>IF(((E869="")+(F869="")),"",IF(VLOOKUP(F869,Mannschaften!$A$1:$B$54,2,FALSE)&lt;&gt;E869,"Reiter Mannschaften füllen",""))</f>
        <v/>
      </c>
      <c r="X869" s="248" t="str">
        <f>IF(ISBLANK(C869),"",IF((U869&gt;(LOOKUP(E869,WKNrListe,Übersicht!$O$7:$O$46)))+(U869&lt;(LOOKUP(E869,WKNrListe,Übersicht!$P$7:$P$46))),"JG falsch",""))</f>
        <v/>
      </c>
      <c r="Y869" s="255" t="str">
        <f>IF((A869="")*(B869=""),"",IF(ISERROR(MATCH(E869,WKNrListe,0)),"WK falsch",LOOKUP(E869,WKNrListe,Übersicht!$B$7:$B$46)))</f>
        <v/>
      </c>
      <c r="Z869" s="269" t="str">
        <f>IF(((AJ869=0)*(AH869&lt;&gt;"")*(AK869="-"))+((AJ869&lt;&gt;0)*(AH869&lt;&gt;"")*(AK869="-")),IF(AG869="X",Übersicht!$C$70,Übersicht!$C$69),"-")</f>
        <v>-</v>
      </c>
      <c r="AA869" s="252" t="str">
        <f>IF((($A869="")*($B869=""))+((MID($Y869,1,4)&lt;&gt;"Wahl")*(Deckblatt!$C$14='WK-Vorlagen'!$C$82))+(Deckblatt!$C$14&lt;&gt;'WK-Vorlagen'!$C$82),"",IF(ISERROR(MATCH(VALUE(MID(G869,1,2)),Schwierigkeitsstufen!$G$7:$G$19,0)),"Gerät falsch",LOOKUP(VALUE(MID(G869,1,2)),Schwierigkeitsstufen!$G$7:$G$19,Schwierigkeitsstufen!$H$7:$H$19)))</f>
        <v/>
      </c>
      <c r="AB869" s="250" t="str">
        <f>IF((($A869="")*($B869=""))+((MID($Y869,1,4)&lt;&gt;"Wahl")*(Deckblatt!$C$14='WK-Vorlagen'!$C$82))+(Deckblatt!$C$14&lt;&gt;'WK-Vorlagen'!$C$82),"",IF(ISERROR(MATCH(VALUE(MID(H869,1,2)),Schwierigkeitsstufen!$G$7:$G$19,0)),"Gerät falsch",LOOKUP(VALUE(MID(H869,1,2)),Schwierigkeitsstufen!$G$7:$G$19,Schwierigkeitsstufen!$H$7:$H$19)))</f>
        <v/>
      </c>
      <c r="AC869" s="250" t="str">
        <f>IF((($A869="")*($B869=""))+((MID($Y869,1,4)&lt;&gt;"Wahl")*(Deckblatt!$C$14='WK-Vorlagen'!$C$82))+(Deckblatt!$C$14&lt;&gt;'WK-Vorlagen'!$C$82),"",IF(ISERROR(MATCH(VALUE(MID(I869,1,2)),Schwierigkeitsstufen!$G$7:$G$19,0)),"Gerät falsch",LOOKUP(VALUE(MID(I869,1,2)),Schwierigkeitsstufen!$G$7:$G$19,Schwierigkeitsstufen!$H$7:$H$19)))</f>
        <v/>
      </c>
      <c r="AD869" s="251" t="str">
        <f>IF((($A869="")*($B869=""))+((MID($Y869,1,4)&lt;&gt;"Wahl")*(Deckblatt!$C$14='WK-Vorlagen'!$C$82))+(Deckblatt!$C$14&lt;&gt;'WK-Vorlagen'!$C$82),"",IF(ISERROR(MATCH(VALUE(MID(J869,1,2)),Schwierigkeitsstufen!$G$7:$G$19,0)),"Gerät falsch",LOOKUP(VALUE(MID(J869,1,2)),Schwierigkeitsstufen!$G$7:$G$19,Schwierigkeitsstufen!$H$7:$H$19)))</f>
        <v/>
      </c>
      <c r="AE869" s="211"/>
      <c r="AG869" s="221" t="str">
        <f t="shared" si="117"/>
        <v/>
      </c>
      <c r="AH869" s="222" t="str">
        <f t="shared" si="119"/>
        <v/>
      </c>
      <c r="AI869" s="220">
        <f t="shared" si="124"/>
        <v>4</v>
      </c>
      <c r="AJ869" s="222">
        <f t="shared" si="120"/>
        <v>0</v>
      </c>
      <c r="AK869" s="299" t="str">
        <f>IF(ISERROR(LOOKUP(E869,WKNrListe,Übersicht!$R$7:$R$46)),"-",LOOKUP(E869,WKNrListe,Übersicht!$R$7:$R$46))</f>
        <v>-</v>
      </c>
      <c r="AL869" s="299" t="str">
        <f t="shared" si="123"/>
        <v>-</v>
      </c>
      <c r="AM869" s="303"/>
      <c r="AN869" s="174" t="str">
        <f t="shared" si="116"/>
        <v>Leer</v>
      </c>
    </row>
    <row r="870" spans="1:40" s="174" customFormat="1" ht="15" customHeight="1">
      <c r="A870" s="63"/>
      <c r="B870" s="63"/>
      <c r="C870" s="84"/>
      <c r="D870" s="85"/>
      <c r="E870" s="62"/>
      <c r="F870" s="62"/>
      <c r="G870" s="62"/>
      <c r="H870" s="62"/>
      <c r="I870" s="62"/>
      <c r="J870" s="62"/>
      <c r="K870" s="62"/>
      <c r="L870" s="62"/>
      <c r="M870" s="62"/>
      <c r="N870" s="62"/>
      <c r="O870" s="62"/>
      <c r="P870" s="62"/>
      <c r="Q870" s="62"/>
      <c r="R870" s="62"/>
      <c r="S870" s="258"/>
      <c r="T870" s="248" t="str">
        <f t="shared" si="121"/>
        <v/>
      </c>
      <c r="U870" s="249" t="str">
        <f t="shared" si="122"/>
        <v/>
      </c>
      <c r="V870" s="294" t="str">
        <f t="shared" si="118"/>
        <v/>
      </c>
      <c r="W870" s="294" t="str">
        <f>IF(((E870="")+(F870="")),"",IF(VLOOKUP(F870,Mannschaften!$A$1:$B$54,2,FALSE)&lt;&gt;E870,"Reiter Mannschaften füllen",""))</f>
        <v/>
      </c>
      <c r="X870" s="248" t="str">
        <f>IF(ISBLANK(C870),"",IF((U870&gt;(LOOKUP(E870,WKNrListe,Übersicht!$O$7:$O$46)))+(U870&lt;(LOOKUP(E870,WKNrListe,Übersicht!$P$7:$P$46))),"JG falsch",""))</f>
        <v/>
      </c>
      <c r="Y870" s="255" t="str">
        <f>IF((A870="")*(B870=""),"",IF(ISERROR(MATCH(E870,WKNrListe,0)),"WK falsch",LOOKUP(E870,WKNrListe,Übersicht!$B$7:$B$46)))</f>
        <v/>
      </c>
      <c r="Z870" s="269" t="str">
        <f>IF(((AJ870=0)*(AH870&lt;&gt;"")*(AK870="-"))+((AJ870&lt;&gt;0)*(AH870&lt;&gt;"")*(AK870="-")),IF(AG870="X",Übersicht!$C$70,Übersicht!$C$69),"-")</f>
        <v>-</v>
      </c>
      <c r="AA870" s="252" t="str">
        <f>IF((($A870="")*($B870=""))+((MID($Y870,1,4)&lt;&gt;"Wahl")*(Deckblatt!$C$14='WK-Vorlagen'!$C$82))+(Deckblatt!$C$14&lt;&gt;'WK-Vorlagen'!$C$82),"",IF(ISERROR(MATCH(VALUE(MID(G870,1,2)),Schwierigkeitsstufen!$G$7:$G$19,0)),"Gerät falsch",LOOKUP(VALUE(MID(G870,1,2)),Schwierigkeitsstufen!$G$7:$G$19,Schwierigkeitsstufen!$H$7:$H$19)))</f>
        <v/>
      </c>
      <c r="AB870" s="250" t="str">
        <f>IF((($A870="")*($B870=""))+((MID($Y870,1,4)&lt;&gt;"Wahl")*(Deckblatt!$C$14='WK-Vorlagen'!$C$82))+(Deckblatt!$C$14&lt;&gt;'WK-Vorlagen'!$C$82),"",IF(ISERROR(MATCH(VALUE(MID(H870,1,2)),Schwierigkeitsstufen!$G$7:$G$19,0)),"Gerät falsch",LOOKUP(VALUE(MID(H870,1,2)),Schwierigkeitsstufen!$G$7:$G$19,Schwierigkeitsstufen!$H$7:$H$19)))</f>
        <v/>
      </c>
      <c r="AC870" s="250" t="str">
        <f>IF((($A870="")*($B870=""))+((MID($Y870,1,4)&lt;&gt;"Wahl")*(Deckblatt!$C$14='WK-Vorlagen'!$C$82))+(Deckblatt!$C$14&lt;&gt;'WK-Vorlagen'!$C$82),"",IF(ISERROR(MATCH(VALUE(MID(I870,1,2)),Schwierigkeitsstufen!$G$7:$G$19,0)),"Gerät falsch",LOOKUP(VALUE(MID(I870,1,2)),Schwierigkeitsstufen!$G$7:$G$19,Schwierigkeitsstufen!$H$7:$H$19)))</f>
        <v/>
      </c>
      <c r="AD870" s="251" t="str">
        <f>IF((($A870="")*($B870=""))+((MID($Y870,1,4)&lt;&gt;"Wahl")*(Deckblatt!$C$14='WK-Vorlagen'!$C$82))+(Deckblatt!$C$14&lt;&gt;'WK-Vorlagen'!$C$82),"",IF(ISERROR(MATCH(VALUE(MID(J870,1,2)),Schwierigkeitsstufen!$G$7:$G$19,0)),"Gerät falsch",LOOKUP(VALUE(MID(J870,1,2)),Schwierigkeitsstufen!$G$7:$G$19,Schwierigkeitsstufen!$H$7:$H$19)))</f>
        <v/>
      </c>
      <c r="AE870" s="211"/>
      <c r="AG870" s="221" t="str">
        <f t="shared" si="117"/>
        <v/>
      </c>
      <c r="AH870" s="222" t="str">
        <f t="shared" si="119"/>
        <v/>
      </c>
      <c r="AI870" s="220">
        <f t="shared" si="124"/>
        <v>4</v>
      </c>
      <c r="AJ870" s="222">
        <f t="shared" si="120"/>
        <v>0</v>
      </c>
      <c r="AK870" s="299" t="str">
        <f>IF(ISERROR(LOOKUP(E870,WKNrListe,Übersicht!$R$7:$R$46)),"-",LOOKUP(E870,WKNrListe,Übersicht!$R$7:$R$46))</f>
        <v>-</v>
      </c>
      <c r="AL870" s="299" t="str">
        <f t="shared" si="123"/>
        <v>-</v>
      </c>
      <c r="AM870" s="303"/>
      <c r="AN870" s="174" t="str">
        <f t="shared" si="116"/>
        <v>Leer</v>
      </c>
    </row>
    <row r="871" spans="1:40" s="174" customFormat="1" ht="15" customHeight="1">
      <c r="A871" s="63"/>
      <c r="B871" s="63"/>
      <c r="C871" s="84"/>
      <c r="D871" s="85"/>
      <c r="E871" s="62"/>
      <c r="F871" s="62"/>
      <c r="G871" s="62"/>
      <c r="H871" s="62"/>
      <c r="I871" s="62"/>
      <c r="J871" s="62"/>
      <c r="K871" s="62"/>
      <c r="L871" s="62"/>
      <c r="M871" s="62"/>
      <c r="N871" s="62"/>
      <c r="O871" s="62"/>
      <c r="P871" s="62"/>
      <c r="Q871" s="62"/>
      <c r="R871" s="62"/>
      <c r="S871" s="258"/>
      <c r="T871" s="248" t="str">
        <f t="shared" si="121"/>
        <v/>
      </c>
      <c r="U871" s="249" t="str">
        <f t="shared" si="122"/>
        <v/>
      </c>
      <c r="V871" s="294" t="str">
        <f t="shared" si="118"/>
        <v/>
      </c>
      <c r="W871" s="294" t="str">
        <f>IF(((E871="")+(F871="")),"",IF(VLOOKUP(F871,Mannschaften!$A$1:$B$54,2,FALSE)&lt;&gt;E871,"Reiter Mannschaften füllen",""))</f>
        <v/>
      </c>
      <c r="X871" s="248" t="str">
        <f>IF(ISBLANK(C871),"",IF((U871&gt;(LOOKUP(E871,WKNrListe,Übersicht!$O$7:$O$46)))+(U871&lt;(LOOKUP(E871,WKNrListe,Übersicht!$P$7:$P$46))),"JG falsch",""))</f>
        <v/>
      </c>
      <c r="Y871" s="255" t="str">
        <f>IF((A871="")*(B871=""),"",IF(ISERROR(MATCH(E871,WKNrListe,0)),"WK falsch",LOOKUP(E871,WKNrListe,Übersicht!$B$7:$B$46)))</f>
        <v/>
      </c>
      <c r="Z871" s="269" t="str">
        <f>IF(((AJ871=0)*(AH871&lt;&gt;"")*(AK871="-"))+((AJ871&lt;&gt;0)*(AH871&lt;&gt;"")*(AK871="-")),IF(AG871="X",Übersicht!$C$70,Übersicht!$C$69),"-")</f>
        <v>-</v>
      </c>
      <c r="AA871" s="252" t="str">
        <f>IF((($A871="")*($B871=""))+((MID($Y871,1,4)&lt;&gt;"Wahl")*(Deckblatt!$C$14='WK-Vorlagen'!$C$82))+(Deckblatt!$C$14&lt;&gt;'WK-Vorlagen'!$C$82),"",IF(ISERROR(MATCH(VALUE(MID(G871,1,2)),Schwierigkeitsstufen!$G$7:$G$19,0)),"Gerät falsch",LOOKUP(VALUE(MID(G871,1,2)),Schwierigkeitsstufen!$G$7:$G$19,Schwierigkeitsstufen!$H$7:$H$19)))</f>
        <v/>
      </c>
      <c r="AB871" s="250" t="str">
        <f>IF((($A871="")*($B871=""))+((MID($Y871,1,4)&lt;&gt;"Wahl")*(Deckblatt!$C$14='WK-Vorlagen'!$C$82))+(Deckblatt!$C$14&lt;&gt;'WK-Vorlagen'!$C$82),"",IF(ISERROR(MATCH(VALUE(MID(H871,1,2)),Schwierigkeitsstufen!$G$7:$G$19,0)),"Gerät falsch",LOOKUP(VALUE(MID(H871,1,2)),Schwierigkeitsstufen!$G$7:$G$19,Schwierigkeitsstufen!$H$7:$H$19)))</f>
        <v/>
      </c>
      <c r="AC871" s="250" t="str">
        <f>IF((($A871="")*($B871=""))+((MID($Y871,1,4)&lt;&gt;"Wahl")*(Deckblatt!$C$14='WK-Vorlagen'!$C$82))+(Deckblatt!$C$14&lt;&gt;'WK-Vorlagen'!$C$82),"",IF(ISERROR(MATCH(VALUE(MID(I871,1,2)),Schwierigkeitsstufen!$G$7:$G$19,0)),"Gerät falsch",LOOKUP(VALUE(MID(I871,1,2)),Schwierigkeitsstufen!$G$7:$G$19,Schwierigkeitsstufen!$H$7:$H$19)))</f>
        <v/>
      </c>
      <c r="AD871" s="251" t="str">
        <f>IF((($A871="")*($B871=""))+((MID($Y871,1,4)&lt;&gt;"Wahl")*(Deckblatt!$C$14='WK-Vorlagen'!$C$82))+(Deckblatt!$C$14&lt;&gt;'WK-Vorlagen'!$C$82),"",IF(ISERROR(MATCH(VALUE(MID(J871,1,2)),Schwierigkeitsstufen!$G$7:$G$19,0)),"Gerät falsch",LOOKUP(VALUE(MID(J871,1,2)),Schwierigkeitsstufen!$G$7:$G$19,Schwierigkeitsstufen!$H$7:$H$19)))</f>
        <v/>
      </c>
      <c r="AE871" s="211"/>
      <c r="AG871" s="221" t="str">
        <f t="shared" si="117"/>
        <v/>
      </c>
      <c r="AH871" s="222" t="str">
        <f t="shared" si="119"/>
        <v/>
      </c>
      <c r="AI871" s="220">
        <f t="shared" si="124"/>
        <v>4</v>
      </c>
      <c r="AJ871" s="222">
        <f t="shared" si="120"/>
        <v>0</v>
      </c>
      <c r="AK871" s="299" t="str">
        <f>IF(ISERROR(LOOKUP(E871,WKNrListe,Übersicht!$R$7:$R$46)),"-",LOOKUP(E871,WKNrListe,Übersicht!$R$7:$R$46))</f>
        <v>-</v>
      </c>
      <c r="AL871" s="299" t="str">
        <f t="shared" si="123"/>
        <v>-</v>
      </c>
      <c r="AM871" s="303"/>
      <c r="AN871" s="174" t="str">
        <f t="shared" si="116"/>
        <v>Leer</v>
      </c>
    </row>
    <row r="872" spans="1:40" s="174" customFormat="1" ht="15" customHeight="1">
      <c r="A872" s="63"/>
      <c r="B872" s="63"/>
      <c r="C872" s="84"/>
      <c r="D872" s="85"/>
      <c r="E872" s="62"/>
      <c r="F872" s="62"/>
      <c r="G872" s="62"/>
      <c r="H872" s="62"/>
      <c r="I872" s="62"/>
      <c r="J872" s="62"/>
      <c r="K872" s="62"/>
      <c r="L872" s="62"/>
      <c r="M872" s="62"/>
      <c r="N872" s="62"/>
      <c r="O872" s="62"/>
      <c r="P872" s="62"/>
      <c r="Q872" s="62"/>
      <c r="R872" s="62"/>
      <c r="S872" s="258"/>
      <c r="T872" s="248" t="str">
        <f t="shared" si="121"/>
        <v/>
      </c>
      <c r="U872" s="249" t="str">
        <f t="shared" si="122"/>
        <v/>
      </c>
      <c r="V872" s="294" t="str">
        <f t="shared" si="118"/>
        <v/>
      </c>
      <c r="W872" s="294" t="str">
        <f>IF(((E872="")+(F872="")),"",IF(VLOOKUP(F872,Mannschaften!$A$1:$B$54,2,FALSE)&lt;&gt;E872,"Reiter Mannschaften füllen",""))</f>
        <v/>
      </c>
      <c r="X872" s="248" t="str">
        <f>IF(ISBLANK(C872),"",IF((U872&gt;(LOOKUP(E872,WKNrListe,Übersicht!$O$7:$O$46)))+(U872&lt;(LOOKUP(E872,WKNrListe,Übersicht!$P$7:$P$46))),"JG falsch",""))</f>
        <v/>
      </c>
      <c r="Y872" s="255" t="str">
        <f>IF((A872="")*(B872=""),"",IF(ISERROR(MATCH(E872,WKNrListe,0)),"WK falsch",LOOKUP(E872,WKNrListe,Übersicht!$B$7:$B$46)))</f>
        <v/>
      </c>
      <c r="Z872" s="269" t="str">
        <f>IF(((AJ872=0)*(AH872&lt;&gt;"")*(AK872="-"))+((AJ872&lt;&gt;0)*(AH872&lt;&gt;"")*(AK872="-")),IF(AG872="X",Übersicht!$C$70,Übersicht!$C$69),"-")</f>
        <v>-</v>
      </c>
      <c r="AA872" s="252" t="str">
        <f>IF((($A872="")*($B872=""))+((MID($Y872,1,4)&lt;&gt;"Wahl")*(Deckblatt!$C$14='WK-Vorlagen'!$C$82))+(Deckblatt!$C$14&lt;&gt;'WK-Vorlagen'!$C$82),"",IF(ISERROR(MATCH(VALUE(MID(G872,1,2)),Schwierigkeitsstufen!$G$7:$G$19,0)),"Gerät falsch",LOOKUP(VALUE(MID(G872,1,2)),Schwierigkeitsstufen!$G$7:$G$19,Schwierigkeitsstufen!$H$7:$H$19)))</f>
        <v/>
      </c>
      <c r="AB872" s="250" t="str">
        <f>IF((($A872="")*($B872=""))+((MID($Y872,1,4)&lt;&gt;"Wahl")*(Deckblatt!$C$14='WK-Vorlagen'!$C$82))+(Deckblatt!$C$14&lt;&gt;'WK-Vorlagen'!$C$82),"",IF(ISERROR(MATCH(VALUE(MID(H872,1,2)),Schwierigkeitsstufen!$G$7:$G$19,0)),"Gerät falsch",LOOKUP(VALUE(MID(H872,1,2)),Schwierigkeitsstufen!$G$7:$G$19,Schwierigkeitsstufen!$H$7:$H$19)))</f>
        <v/>
      </c>
      <c r="AC872" s="250" t="str">
        <f>IF((($A872="")*($B872=""))+((MID($Y872,1,4)&lt;&gt;"Wahl")*(Deckblatt!$C$14='WK-Vorlagen'!$C$82))+(Deckblatt!$C$14&lt;&gt;'WK-Vorlagen'!$C$82),"",IF(ISERROR(MATCH(VALUE(MID(I872,1,2)),Schwierigkeitsstufen!$G$7:$G$19,0)),"Gerät falsch",LOOKUP(VALUE(MID(I872,1,2)),Schwierigkeitsstufen!$G$7:$G$19,Schwierigkeitsstufen!$H$7:$H$19)))</f>
        <v/>
      </c>
      <c r="AD872" s="251" t="str">
        <f>IF((($A872="")*($B872=""))+((MID($Y872,1,4)&lt;&gt;"Wahl")*(Deckblatt!$C$14='WK-Vorlagen'!$C$82))+(Deckblatt!$C$14&lt;&gt;'WK-Vorlagen'!$C$82),"",IF(ISERROR(MATCH(VALUE(MID(J872,1,2)),Schwierigkeitsstufen!$G$7:$G$19,0)),"Gerät falsch",LOOKUP(VALUE(MID(J872,1,2)),Schwierigkeitsstufen!$G$7:$G$19,Schwierigkeitsstufen!$H$7:$H$19)))</f>
        <v/>
      </c>
      <c r="AE872" s="211"/>
      <c r="AG872" s="221" t="str">
        <f t="shared" si="117"/>
        <v/>
      </c>
      <c r="AH872" s="222" t="str">
        <f t="shared" si="119"/>
        <v/>
      </c>
      <c r="AI872" s="220">
        <f t="shared" si="124"/>
        <v>4</v>
      </c>
      <c r="AJ872" s="222">
        <f t="shared" si="120"/>
        <v>0</v>
      </c>
      <c r="AK872" s="299" t="str">
        <f>IF(ISERROR(LOOKUP(E872,WKNrListe,Übersicht!$R$7:$R$46)),"-",LOOKUP(E872,WKNrListe,Übersicht!$R$7:$R$46))</f>
        <v>-</v>
      </c>
      <c r="AL872" s="299" t="str">
        <f t="shared" si="123"/>
        <v>-</v>
      </c>
      <c r="AM872" s="303"/>
      <c r="AN872" s="174" t="str">
        <f t="shared" si="116"/>
        <v>Leer</v>
      </c>
    </row>
    <row r="873" spans="1:40" s="174" customFormat="1" ht="15" customHeight="1">
      <c r="A873" s="63"/>
      <c r="B873" s="63"/>
      <c r="C873" s="84"/>
      <c r="D873" s="85"/>
      <c r="E873" s="62"/>
      <c r="F873" s="62"/>
      <c r="G873" s="62"/>
      <c r="H873" s="62"/>
      <c r="I873" s="62"/>
      <c r="J873" s="62"/>
      <c r="K873" s="62"/>
      <c r="L873" s="62"/>
      <c r="M873" s="62"/>
      <c r="N873" s="62"/>
      <c r="O873" s="62"/>
      <c r="P873" s="62"/>
      <c r="Q873" s="62"/>
      <c r="R873" s="62"/>
      <c r="S873" s="258"/>
      <c r="T873" s="248" t="str">
        <f t="shared" si="121"/>
        <v/>
      </c>
      <c r="U873" s="249" t="str">
        <f t="shared" si="122"/>
        <v/>
      </c>
      <c r="V873" s="294" t="str">
        <f t="shared" si="118"/>
        <v/>
      </c>
      <c r="W873" s="294" t="str">
        <f>IF(((E873="")+(F873="")),"",IF(VLOOKUP(F873,Mannschaften!$A$1:$B$54,2,FALSE)&lt;&gt;E873,"Reiter Mannschaften füllen",""))</f>
        <v/>
      </c>
      <c r="X873" s="248" t="str">
        <f>IF(ISBLANK(C873),"",IF((U873&gt;(LOOKUP(E873,WKNrListe,Übersicht!$O$7:$O$46)))+(U873&lt;(LOOKUP(E873,WKNrListe,Übersicht!$P$7:$P$46))),"JG falsch",""))</f>
        <v/>
      </c>
      <c r="Y873" s="255" t="str">
        <f>IF((A873="")*(B873=""),"",IF(ISERROR(MATCH(E873,WKNrListe,0)),"WK falsch",LOOKUP(E873,WKNrListe,Übersicht!$B$7:$B$46)))</f>
        <v/>
      </c>
      <c r="Z873" s="269" t="str">
        <f>IF(((AJ873=0)*(AH873&lt;&gt;"")*(AK873="-"))+((AJ873&lt;&gt;0)*(AH873&lt;&gt;"")*(AK873="-")),IF(AG873="X",Übersicht!$C$70,Übersicht!$C$69),"-")</f>
        <v>-</v>
      </c>
      <c r="AA873" s="252" t="str">
        <f>IF((($A873="")*($B873=""))+((MID($Y873,1,4)&lt;&gt;"Wahl")*(Deckblatt!$C$14='WK-Vorlagen'!$C$82))+(Deckblatt!$C$14&lt;&gt;'WK-Vorlagen'!$C$82),"",IF(ISERROR(MATCH(VALUE(MID(G873,1,2)),Schwierigkeitsstufen!$G$7:$G$19,0)),"Gerät falsch",LOOKUP(VALUE(MID(G873,1,2)),Schwierigkeitsstufen!$G$7:$G$19,Schwierigkeitsstufen!$H$7:$H$19)))</f>
        <v/>
      </c>
      <c r="AB873" s="250" t="str">
        <f>IF((($A873="")*($B873=""))+((MID($Y873,1,4)&lt;&gt;"Wahl")*(Deckblatt!$C$14='WK-Vorlagen'!$C$82))+(Deckblatt!$C$14&lt;&gt;'WK-Vorlagen'!$C$82),"",IF(ISERROR(MATCH(VALUE(MID(H873,1,2)),Schwierigkeitsstufen!$G$7:$G$19,0)),"Gerät falsch",LOOKUP(VALUE(MID(H873,1,2)),Schwierigkeitsstufen!$G$7:$G$19,Schwierigkeitsstufen!$H$7:$H$19)))</f>
        <v/>
      </c>
      <c r="AC873" s="250" t="str">
        <f>IF((($A873="")*($B873=""))+((MID($Y873,1,4)&lt;&gt;"Wahl")*(Deckblatt!$C$14='WK-Vorlagen'!$C$82))+(Deckblatt!$C$14&lt;&gt;'WK-Vorlagen'!$C$82),"",IF(ISERROR(MATCH(VALUE(MID(I873,1,2)),Schwierigkeitsstufen!$G$7:$G$19,0)),"Gerät falsch",LOOKUP(VALUE(MID(I873,1,2)),Schwierigkeitsstufen!$G$7:$G$19,Schwierigkeitsstufen!$H$7:$H$19)))</f>
        <v/>
      </c>
      <c r="AD873" s="251" t="str">
        <f>IF((($A873="")*($B873=""))+((MID($Y873,1,4)&lt;&gt;"Wahl")*(Deckblatt!$C$14='WK-Vorlagen'!$C$82))+(Deckblatt!$C$14&lt;&gt;'WK-Vorlagen'!$C$82),"",IF(ISERROR(MATCH(VALUE(MID(J873,1,2)),Schwierigkeitsstufen!$G$7:$G$19,0)),"Gerät falsch",LOOKUP(VALUE(MID(J873,1,2)),Schwierigkeitsstufen!$G$7:$G$19,Schwierigkeitsstufen!$H$7:$H$19)))</f>
        <v/>
      </c>
      <c r="AE873" s="211"/>
      <c r="AG873" s="221" t="str">
        <f t="shared" si="117"/>
        <v/>
      </c>
      <c r="AH873" s="222" t="str">
        <f t="shared" si="119"/>
        <v/>
      </c>
      <c r="AI873" s="220">
        <f t="shared" si="124"/>
        <v>4</v>
      </c>
      <c r="AJ873" s="222">
        <f t="shared" si="120"/>
        <v>0</v>
      </c>
      <c r="AK873" s="299" t="str">
        <f>IF(ISERROR(LOOKUP(E873,WKNrListe,Übersicht!$R$7:$R$46)),"-",LOOKUP(E873,WKNrListe,Übersicht!$R$7:$R$46))</f>
        <v>-</v>
      </c>
      <c r="AL873" s="299" t="str">
        <f t="shared" si="123"/>
        <v>-</v>
      </c>
      <c r="AM873" s="303"/>
      <c r="AN873" s="174" t="str">
        <f t="shared" si="116"/>
        <v>Leer</v>
      </c>
    </row>
    <row r="874" spans="1:40" s="174" customFormat="1" ht="15" customHeight="1">
      <c r="A874" s="63"/>
      <c r="B874" s="63"/>
      <c r="C874" s="84"/>
      <c r="D874" s="85"/>
      <c r="E874" s="62"/>
      <c r="F874" s="62"/>
      <c r="G874" s="62"/>
      <c r="H874" s="62"/>
      <c r="I874" s="62"/>
      <c r="J874" s="62"/>
      <c r="K874" s="62"/>
      <c r="L874" s="62"/>
      <c r="M874" s="62"/>
      <c r="N874" s="62"/>
      <c r="O874" s="62"/>
      <c r="P874" s="62"/>
      <c r="Q874" s="62"/>
      <c r="R874" s="62"/>
      <c r="S874" s="258"/>
      <c r="T874" s="248" t="str">
        <f t="shared" si="121"/>
        <v/>
      </c>
      <c r="U874" s="249" t="str">
        <f t="shared" si="122"/>
        <v/>
      </c>
      <c r="V874" s="294" t="str">
        <f t="shared" si="118"/>
        <v/>
      </c>
      <c r="W874" s="294" t="str">
        <f>IF(((E874="")+(F874="")),"",IF(VLOOKUP(F874,Mannschaften!$A$1:$B$54,2,FALSE)&lt;&gt;E874,"Reiter Mannschaften füllen",""))</f>
        <v/>
      </c>
      <c r="X874" s="248" t="str">
        <f>IF(ISBLANK(C874),"",IF((U874&gt;(LOOKUP(E874,WKNrListe,Übersicht!$O$7:$O$46)))+(U874&lt;(LOOKUP(E874,WKNrListe,Übersicht!$P$7:$P$46))),"JG falsch",""))</f>
        <v/>
      </c>
      <c r="Y874" s="255" t="str">
        <f>IF((A874="")*(B874=""),"",IF(ISERROR(MATCH(E874,WKNrListe,0)),"WK falsch",LOOKUP(E874,WKNrListe,Übersicht!$B$7:$B$46)))</f>
        <v/>
      </c>
      <c r="Z874" s="269" t="str">
        <f>IF(((AJ874=0)*(AH874&lt;&gt;"")*(AK874="-"))+((AJ874&lt;&gt;0)*(AH874&lt;&gt;"")*(AK874="-")),IF(AG874="X",Übersicht!$C$70,Übersicht!$C$69),"-")</f>
        <v>-</v>
      </c>
      <c r="AA874" s="252" t="str">
        <f>IF((($A874="")*($B874=""))+((MID($Y874,1,4)&lt;&gt;"Wahl")*(Deckblatt!$C$14='WK-Vorlagen'!$C$82))+(Deckblatt!$C$14&lt;&gt;'WK-Vorlagen'!$C$82),"",IF(ISERROR(MATCH(VALUE(MID(G874,1,2)),Schwierigkeitsstufen!$G$7:$G$19,0)),"Gerät falsch",LOOKUP(VALUE(MID(G874,1,2)),Schwierigkeitsstufen!$G$7:$G$19,Schwierigkeitsstufen!$H$7:$H$19)))</f>
        <v/>
      </c>
      <c r="AB874" s="250" t="str">
        <f>IF((($A874="")*($B874=""))+((MID($Y874,1,4)&lt;&gt;"Wahl")*(Deckblatt!$C$14='WK-Vorlagen'!$C$82))+(Deckblatt!$C$14&lt;&gt;'WK-Vorlagen'!$C$82),"",IF(ISERROR(MATCH(VALUE(MID(H874,1,2)),Schwierigkeitsstufen!$G$7:$G$19,0)),"Gerät falsch",LOOKUP(VALUE(MID(H874,1,2)),Schwierigkeitsstufen!$G$7:$G$19,Schwierigkeitsstufen!$H$7:$H$19)))</f>
        <v/>
      </c>
      <c r="AC874" s="250" t="str">
        <f>IF((($A874="")*($B874=""))+((MID($Y874,1,4)&lt;&gt;"Wahl")*(Deckblatt!$C$14='WK-Vorlagen'!$C$82))+(Deckblatt!$C$14&lt;&gt;'WK-Vorlagen'!$C$82),"",IF(ISERROR(MATCH(VALUE(MID(I874,1,2)),Schwierigkeitsstufen!$G$7:$G$19,0)),"Gerät falsch",LOOKUP(VALUE(MID(I874,1,2)),Schwierigkeitsstufen!$G$7:$G$19,Schwierigkeitsstufen!$H$7:$H$19)))</f>
        <v/>
      </c>
      <c r="AD874" s="251" t="str">
        <f>IF((($A874="")*($B874=""))+((MID($Y874,1,4)&lt;&gt;"Wahl")*(Deckblatt!$C$14='WK-Vorlagen'!$C$82))+(Deckblatt!$C$14&lt;&gt;'WK-Vorlagen'!$C$82),"",IF(ISERROR(MATCH(VALUE(MID(J874,1,2)),Schwierigkeitsstufen!$G$7:$G$19,0)),"Gerät falsch",LOOKUP(VALUE(MID(J874,1,2)),Schwierigkeitsstufen!$G$7:$G$19,Schwierigkeitsstufen!$H$7:$H$19)))</f>
        <v/>
      </c>
      <c r="AE874" s="211"/>
      <c r="AG874" s="221" t="str">
        <f t="shared" si="117"/>
        <v/>
      </c>
      <c r="AH874" s="222" t="str">
        <f t="shared" si="119"/>
        <v/>
      </c>
      <c r="AI874" s="220">
        <f t="shared" si="124"/>
        <v>4</v>
      </c>
      <c r="AJ874" s="222">
        <f t="shared" si="120"/>
        <v>0</v>
      </c>
      <c r="AK874" s="299" t="str">
        <f>IF(ISERROR(LOOKUP(E874,WKNrListe,Übersicht!$R$7:$R$46)),"-",LOOKUP(E874,WKNrListe,Übersicht!$R$7:$R$46))</f>
        <v>-</v>
      </c>
      <c r="AL874" s="299" t="str">
        <f t="shared" si="123"/>
        <v>-</v>
      </c>
      <c r="AM874" s="303"/>
      <c r="AN874" s="174" t="str">
        <f t="shared" si="116"/>
        <v>Leer</v>
      </c>
    </row>
    <row r="875" spans="1:40" s="174" customFormat="1" ht="15" customHeight="1">
      <c r="A875" s="63"/>
      <c r="B875" s="63"/>
      <c r="C875" s="84"/>
      <c r="D875" s="85"/>
      <c r="E875" s="62"/>
      <c r="F875" s="62"/>
      <c r="G875" s="62"/>
      <c r="H875" s="62"/>
      <c r="I875" s="62"/>
      <c r="J875" s="62"/>
      <c r="K875" s="62"/>
      <c r="L875" s="62"/>
      <c r="M875" s="62"/>
      <c r="N875" s="62"/>
      <c r="O875" s="62"/>
      <c r="P875" s="62"/>
      <c r="Q875" s="62"/>
      <c r="R875" s="62"/>
      <c r="S875" s="258"/>
      <c r="T875" s="248" t="str">
        <f t="shared" si="121"/>
        <v/>
      </c>
      <c r="U875" s="249" t="str">
        <f t="shared" si="122"/>
        <v/>
      </c>
      <c r="V875" s="294" t="str">
        <f t="shared" si="118"/>
        <v/>
      </c>
      <c r="W875" s="294" t="str">
        <f>IF(((E875="")+(F875="")),"",IF(VLOOKUP(F875,Mannschaften!$A$1:$B$54,2,FALSE)&lt;&gt;E875,"Reiter Mannschaften füllen",""))</f>
        <v/>
      </c>
      <c r="X875" s="248" t="str">
        <f>IF(ISBLANK(C875),"",IF((U875&gt;(LOOKUP(E875,WKNrListe,Übersicht!$O$7:$O$46)))+(U875&lt;(LOOKUP(E875,WKNrListe,Übersicht!$P$7:$P$46))),"JG falsch",""))</f>
        <v/>
      </c>
      <c r="Y875" s="255" t="str">
        <f>IF((A875="")*(B875=""),"",IF(ISERROR(MATCH(E875,WKNrListe,0)),"WK falsch",LOOKUP(E875,WKNrListe,Übersicht!$B$7:$B$46)))</f>
        <v/>
      </c>
      <c r="Z875" s="269" t="str">
        <f>IF(((AJ875=0)*(AH875&lt;&gt;"")*(AK875="-"))+((AJ875&lt;&gt;0)*(AH875&lt;&gt;"")*(AK875="-")),IF(AG875="X",Übersicht!$C$70,Übersicht!$C$69),"-")</f>
        <v>-</v>
      </c>
      <c r="AA875" s="252" t="str">
        <f>IF((($A875="")*($B875=""))+((MID($Y875,1,4)&lt;&gt;"Wahl")*(Deckblatt!$C$14='WK-Vorlagen'!$C$82))+(Deckblatt!$C$14&lt;&gt;'WK-Vorlagen'!$C$82),"",IF(ISERROR(MATCH(VALUE(MID(G875,1,2)),Schwierigkeitsstufen!$G$7:$G$19,0)),"Gerät falsch",LOOKUP(VALUE(MID(G875,1,2)),Schwierigkeitsstufen!$G$7:$G$19,Schwierigkeitsstufen!$H$7:$H$19)))</f>
        <v/>
      </c>
      <c r="AB875" s="250" t="str">
        <f>IF((($A875="")*($B875=""))+((MID($Y875,1,4)&lt;&gt;"Wahl")*(Deckblatt!$C$14='WK-Vorlagen'!$C$82))+(Deckblatt!$C$14&lt;&gt;'WK-Vorlagen'!$C$82),"",IF(ISERROR(MATCH(VALUE(MID(H875,1,2)),Schwierigkeitsstufen!$G$7:$G$19,0)),"Gerät falsch",LOOKUP(VALUE(MID(H875,1,2)),Schwierigkeitsstufen!$G$7:$G$19,Schwierigkeitsstufen!$H$7:$H$19)))</f>
        <v/>
      </c>
      <c r="AC875" s="250" t="str">
        <f>IF((($A875="")*($B875=""))+((MID($Y875,1,4)&lt;&gt;"Wahl")*(Deckblatt!$C$14='WK-Vorlagen'!$C$82))+(Deckblatt!$C$14&lt;&gt;'WK-Vorlagen'!$C$82),"",IF(ISERROR(MATCH(VALUE(MID(I875,1,2)),Schwierigkeitsstufen!$G$7:$G$19,0)),"Gerät falsch",LOOKUP(VALUE(MID(I875,1,2)),Schwierigkeitsstufen!$G$7:$G$19,Schwierigkeitsstufen!$H$7:$H$19)))</f>
        <v/>
      </c>
      <c r="AD875" s="251" t="str">
        <f>IF((($A875="")*($B875=""))+((MID($Y875,1,4)&lt;&gt;"Wahl")*(Deckblatt!$C$14='WK-Vorlagen'!$C$82))+(Deckblatt!$C$14&lt;&gt;'WK-Vorlagen'!$C$82),"",IF(ISERROR(MATCH(VALUE(MID(J875,1,2)),Schwierigkeitsstufen!$G$7:$G$19,0)),"Gerät falsch",LOOKUP(VALUE(MID(J875,1,2)),Schwierigkeitsstufen!$G$7:$G$19,Schwierigkeitsstufen!$H$7:$H$19)))</f>
        <v/>
      </c>
      <c r="AE875" s="211"/>
      <c r="AG875" s="221" t="str">
        <f t="shared" si="117"/>
        <v/>
      </c>
      <c r="AH875" s="222" t="str">
        <f t="shared" si="119"/>
        <v/>
      </c>
      <c r="AI875" s="220">
        <f t="shared" si="124"/>
        <v>4</v>
      </c>
      <c r="AJ875" s="222">
        <f t="shared" si="120"/>
        <v>0</v>
      </c>
      <c r="AK875" s="299" t="str">
        <f>IF(ISERROR(LOOKUP(E875,WKNrListe,Übersicht!$R$7:$R$46)),"-",LOOKUP(E875,WKNrListe,Übersicht!$R$7:$R$46))</f>
        <v>-</v>
      </c>
      <c r="AL875" s="299" t="str">
        <f t="shared" si="123"/>
        <v>-</v>
      </c>
      <c r="AM875" s="303"/>
      <c r="AN875" s="174" t="str">
        <f t="shared" si="116"/>
        <v>Leer</v>
      </c>
    </row>
    <row r="876" spans="1:40" s="174" customFormat="1" ht="15" customHeight="1">
      <c r="A876" s="63"/>
      <c r="B876" s="63"/>
      <c r="C876" s="84"/>
      <c r="D876" s="85"/>
      <c r="E876" s="62"/>
      <c r="F876" s="62"/>
      <c r="G876" s="62"/>
      <c r="H876" s="62"/>
      <c r="I876" s="62"/>
      <c r="J876" s="62"/>
      <c r="K876" s="62"/>
      <c r="L876" s="62"/>
      <c r="M876" s="62"/>
      <c r="N876" s="62"/>
      <c r="O876" s="62"/>
      <c r="P876" s="62"/>
      <c r="Q876" s="62"/>
      <c r="R876" s="62"/>
      <c r="S876" s="258"/>
      <c r="T876" s="248" t="str">
        <f t="shared" si="121"/>
        <v/>
      </c>
      <c r="U876" s="249" t="str">
        <f t="shared" si="122"/>
        <v/>
      </c>
      <c r="V876" s="294" t="str">
        <f t="shared" si="118"/>
        <v/>
      </c>
      <c r="W876" s="294" t="str">
        <f>IF(((E876="")+(F876="")),"",IF(VLOOKUP(F876,Mannschaften!$A$1:$B$54,2,FALSE)&lt;&gt;E876,"Reiter Mannschaften füllen",""))</f>
        <v/>
      </c>
      <c r="X876" s="248" t="str">
        <f>IF(ISBLANK(C876),"",IF((U876&gt;(LOOKUP(E876,WKNrListe,Übersicht!$O$7:$O$46)))+(U876&lt;(LOOKUP(E876,WKNrListe,Übersicht!$P$7:$P$46))),"JG falsch",""))</f>
        <v/>
      </c>
      <c r="Y876" s="255" t="str">
        <f>IF((A876="")*(B876=""),"",IF(ISERROR(MATCH(E876,WKNrListe,0)),"WK falsch",LOOKUP(E876,WKNrListe,Übersicht!$B$7:$B$46)))</f>
        <v/>
      </c>
      <c r="Z876" s="269" t="str">
        <f>IF(((AJ876=0)*(AH876&lt;&gt;"")*(AK876="-"))+((AJ876&lt;&gt;0)*(AH876&lt;&gt;"")*(AK876="-")),IF(AG876="X",Übersicht!$C$70,Übersicht!$C$69),"-")</f>
        <v>-</v>
      </c>
      <c r="AA876" s="252" t="str">
        <f>IF((($A876="")*($B876=""))+((MID($Y876,1,4)&lt;&gt;"Wahl")*(Deckblatt!$C$14='WK-Vorlagen'!$C$82))+(Deckblatt!$C$14&lt;&gt;'WK-Vorlagen'!$C$82),"",IF(ISERROR(MATCH(VALUE(MID(G876,1,2)),Schwierigkeitsstufen!$G$7:$G$19,0)),"Gerät falsch",LOOKUP(VALUE(MID(G876,1,2)),Schwierigkeitsstufen!$G$7:$G$19,Schwierigkeitsstufen!$H$7:$H$19)))</f>
        <v/>
      </c>
      <c r="AB876" s="250" t="str">
        <f>IF((($A876="")*($B876=""))+((MID($Y876,1,4)&lt;&gt;"Wahl")*(Deckblatt!$C$14='WK-Vorlagen'!$C$82))+(Deckblatt!$C$14&lt;&gt;'WK-Vorlagen'!$C$82),"",IF(ISERROR(MATCH(VALUE(MID(H876,1,2)),Schwierigkeitsstufen!$G$7:$G$19,0)),"Gerät falsch",LOOKUP(VALUE(MID(H876,1,2)),Schwierigkeitsstufen!$G$7:$G$19,Schwierigkeitsstufen!$H$7:$H$19)))</f>
        <v/>
      </c>
      <c r="AC876" s="250" t="str">
        <f>IF((($A876="")*($B876=""))+((MID($Y876,1,4)&lt;&gt;"Wahl")*(Deckblatt!$C$14='WK-Vorlagen'!$C$82))+(Deckblatt!$C$14&lt;&gt;'WK-Vorlagen'!$C$82),"",IF(ISERROR(MATCH(VALUE(MID(I876,1,2)),Schwierigkeitsstufen!$G$7:$G$19,0)),"Gerät falsch",LOOKUP(VALUE(MID(I876,1,2)),Schwierigkeitsstufen!$G$7:$G$19,Schwierigkeitsstufen!$H$7:$H$19)))</f>
        <v/>
      </c>
      <c r="AD876" s="251" t="str">
        <f>IF((($A876="")*($B876=""))+((MID($Y876,1,4)&lt;&gt;"Wahl")*(Deckblatt!$C$14='WK-Vorlagen'!$C$82))+(Deckblatt!$C$14&lt;&gt;'WK-Vorlagen'!$C$82),"",IF(ISERROR(MATCH(VALUE(MID(J876,1,2)),Schwierigkeitsstufen!$G$7:$G$19,0)),"Gerät falsch",LOOKUP(VALUE(MID(J876,1,2)),Schwierigkeitsstufen!$G$7:$G$19,Schwierigkeitsstufen!$H$7:$H$19)))</f>
        <v/>
      </c>
      <c r="AE876" s="211"/>
      <c r="AG876" s="221" t="str">
        <f t="shared" si="117"/>
        <v/>
      </c>
      <c r="AH876" s="222" t="str">
        <f t="shared" si="119"/>
        <v/>
      </c>
      <c r="AI876" s="220">
        <f t="shared" si="124"/>
        <v>4</v>
      </c>
      <c r="AJ876" s="222">
        <f t="shared" si="120"/>
        <v>0</v>
      </c>
      <c r="AK876" s="299" t="str">
        <f>IF(ISERROR(LOOKUP(E876,WKNrListe,Übersicht!$R$7:$R$46)),"-",LOOKUP(E876,WKNrListe,Übersicht!$R$7:$R$46))</f>
        <v>-</v>
      </c>
      <c r="AL876" s="299" t="str">
        <f t="shared" si="123"/>
        <v>-</v>
      </c>
      <c r="AM876" s="303"/>
      <c r="AN876" s="174" t="str">
        <f t="shared" si="116"/>
        <v>Leer</v>
      </c>
    </row>
    <row r="877" spans="1:40" s="174" customFormat="1" ht="15" customHeight="1">
      <c r="A877" s="63"/>
      <c r="B877" s="63"/>
      <c r="C877" s="84"/>
      <c r="D877" s="85"/>
      <c r="E877" s="62"/>
      <c r="F877" s="62"/>
      <c r="G877" s="62"/>
      <c r="H877" s="62"/>
      <c r="I877" s="62"/>
      <c r="J877" s="62"/>
      <c r="K877" s="62"/>
      <c r="L877" s="62"/>
      <c r="M877" s="62"/>
      <c r="N877" s="62"/>
      <c r="O877" s="62"/>
      <c r="P877" s="62"/>
      <c r="Q877" s="62"/>
      <c r="R877" s="62"/>
      <c r="S877" s="258"/>
      <c r="T877" s="248" t="str">
        <f t="shared" si="121"/>
        <v/>
      </c>
      <c r="U877" s="249" t="str">
        <f t="shared" si="122"/>
        <v/>
      </c>
      <c r="V877" s="294" t="str">
        <f t="shared" si="118"/>
        <v/>
      </c>
      <c r="W877" s="294" t="str">
        <f>IF(((E877="")+(F877="")),"",IF(VLOOKUP(F877,Mannschaften!$A$1:$B$54,2,FALSE)&lt;&gt;E877,"Reiter Mannschaften füllen",""))</f>
        <v/>
      </c>
      <c r="X877" s="248" t="str">
        <f>IF(ISBLANK(C877),"",IF((U877&gt;(LOOKUP(E877,WKNrListe,Übersicht!$O$7:$O$46)))+(U877&lt;(LOOKUP(E877,WKNrListe,Übersicht!$P$7:$P$46))),"JG falsch",""))</f>
        <v/>
      </c>
      <c r="Y877" s="255" t="str">
        <f>IF((A877="")*(B877=""),"",IF(ISERROR(MATCH(E877,WKNrListe,0)),"WK falsch",LOOKUP(E877,WKNrListe,Übersicht!$B$7:$B$46)))</f>
        <v/>
      </c>
      <c r="Z877" s="269" t="str">
        <f>IF(((AJ877=0)*(AH877&lt;&gt;"")*(AK877="-"))+((AJ877&lt;&gt;0)*(AH877&lt;&gt;"")*(AK877="-")),IF(AG877="X",Übersicht!$C$70,Übersicht!$C$69),"-")</f>
        <v>-</v>
      </c>
      <c r="AA877" s="252" t="str">
        <f>IF((($A877="")*($B877=""))+((MID($Y877,1,4)&lt;&gt;"Wahl")*(Deckblatt!$C$14='WK-Vorlagen'!$C$82))+(Deckblatt!$C$14&lt;&gt;'WK-Vorlagen'!$C$82),"",IF(ISERROR(MATCH(VALUE(MID(G877,1,2)),Schwierigkeitsstufen!$G$7:$G$19,0)),"Gerät falsch",LOOKUP(VALUE(MID(G877,1,2)),Schwierigkeitsstufen!$G$7:$G$19,Schwierigkeitsstufen!$H$7:$H$19)))</f>
        <v/>
      </c>
      <c r="AB877" s="250" t="str">
        <f>IF((($A877="")*($B877=""))+((MID($Y877,1,4)&lt;&gt;"Wahl")*(Deckblatt!$C$14='WK-Vorlagen'!$C$82))+(Deckblatt!$C$14&lt;&gt;'WK-Vorlagen'!$C$82),"",IF(ISERROR(MATCH(VALUE(MID(H877,1,2)),Schwierigkeitsstufen!$G$7:$G$19,0)),"Gerät falsch",LOOKUP(VALUE(MID(H877,1,2)),Schwierigkeitsstufen!$G$7:$G$19,Schwierigkeitsstufen!$H$7:$H$19)))</f>
        <v/>
      </c>
      <c r="AC877" s="250" t="str">
        <f>IF((($A877="")*($B877=""))+((MID($Y877,1,4)&lt;&gt;"Wahl")*(Deckblatt!$C$14='WK-Vorlagen'!$C$82))+(Deckblatt!$C$14&lt;&gt;'WK-Vorlagen'!$C$82),"",IF(ISERROR(MATCH(VALUE(MID(I877,1,2)),Schwierigkeitsstufen!$G$7:$G$19,0)),"Gerät falsch",LOOKUP(VALUE(MID(I877,1,2)),Schwierigkeitsstufen!$G$7:$G$19,Schwierigkeitsstufen!$H$7:$H$19)))</f>
        <v/>
      </c>
      <c r="AD877" s="251" t="str">
        <f>IF((($A877="")*($B877=""))+((MID($Y877,1,4)&lt;&gt;"Wahl")*(Deckblatt!$C$14='WK-Vorlagen'!$C$82))+(Deckblatt!$C$14&lt;&gt;'WK-Vorlagen'!$C$82),"",IF(ISERROR(MATCH(VALUE(MID(J877,1,2)),Schwierigkeitsstufen!$G$7:$G$19,0)),"Gerät falsch",LOOKUP(VALUE(MID(J877,1,2)),Schwierigkeitsstufen!$G$7:$G$19,Schwierigkeitsstufen!$H$7:$H$19)))</f>
        <v/>
      </c>
      <c r="AE877" s="211"/>
      <c r="AG877" s="221" t="str">
        <f t="shared" si="117"/>
        <v/>
      </c>
      <c r="AH877" s="222" t="str">
        <f t="shared" si="119"/>
        <v/>
      </c>
      <c r="AI877" s="220">
        <f t="shared" si="124"/>
        <v>4</v>
      </c>
      <c r="AJ877" s="222">
        <f t="shared" si="120"/>
        <v>0</v>
      </c>
      <c r="AK877" s="299" t="str">
        <f>IF(ISERROR(LOOKUP(E877,WKNrListe,Übersicht!$R$7:$R$46)),"-",LOOKUP(E877,WKNrListe,Übersicht!$R$7:$R$46))</f>
        <v>-</v>
      </c>
      <c r="AL877" s="299" t="str">
        <f t="shared" si="123"/>
        <v>-</v>
      </c>
      <c r="AM877" s="303"/>
      <c r="AN877" s="174" t="str">
        <f t="shared" si="116"/>
        <v>Leer</v>
      </c>
    </row>
    <row r="878" spans="1:40" s="174" customFormat="1" ht="15" customHeight="1">
      <c r="A878" s="63"/>
      <c r="B878" s="63"/>
      <c r="C878" s="84"/>
      <c r="D878" s="85"/>
      <c r="E878" s="62"/>
      <c r="F878" s="62"/>
      <c r="G878" s="62"/>
      <c r="H878" s="62"/>
      <c r="I878" s="62"/>
      <c r="J878" s="62"/>
      <c r="K878" s="62"/>
      <c r="L878" s="62"/>
      <c r="M878" s="62"/>
      <c r="N878" s="62"/>
      <c r="O878" s="62"/>
      <c r="P878" s="62"/>
      <c r="Q878" s="62"/>
      <c r="R878" s="62"/>
      <c r="S878" s="258"/>
      <c r="T878" s="248" t="str">
        <f t="shared" si="121"/>
        <v/>
      </c>
      <c r="U878" s="249" t="str">
        <f t="shared" si="122"/>
        <v/>
      </c>
      <c r="V878" s="294" t="str">
        <f t="shared" si="118"/>
        <v/>
      </c>
      <c r="W878" s="294" t="str">
        <f>IF(((E878="")+(F878="")),"",IF(VLOOKUP(F878,Mannschaften!$A$1:$B$54,2,FALSE)&lt;&gt;E878,"Reiter Mannschaften füllen",""))</f>
        <v/>
      </c>
      <c r="X878" s="248" t="str">
        <f>IF(ISBLANK(C878),"",IF((U878&gt;(LOOKUP(E878,WKNrListe,Übersicht!$O$7:$O$46)))+(U878&lt;(LOOKUP(E878,WKNrListe,Übersicht!$P$7:$P$46))),"JG falsch",""))</f>
        <v/>
      </c>
      <c r="Y878" s="255" t="str">
        <f>IF((A878="")*(B878=""),"",IF(ISERROR(MATCH(E878,WKNrListe,0)),"WK falsch",LOOKUP(E878,WKNrListe,Übersicht!$B$7:$B$46)))</f>
        <v/>
      </c>
      <c r="Z878" s="269" t="str">
        <f>IF(((AJ878=0)*(AH878&lt;&gt;"")*(AK878="-"))+((AJ878&lt;&gt;0)*(AH878&lt;&gt;"")*(AK878="-")),IF(AG878="X",Übersicht!$C$70,Übersicht!$C$69),"-")</f>
        <v>-</v>
      </c>
      <c r="AA878" s="252" t="str">
        <f>IF((($A878="")*($B878=""))+((MID($Y878,1,4)&lt;&gt;"Wahl")*(Deckblatt!$C$14='WK-Vorlagen'!$C$82))+(Deckblatt!$C$14&lt;&gt;'WK-Vorlagen'!$C$82),"",IF(ISERROR(MATCH(VALUE(MID(G878,1,2)),Schwierigkeitsstufen!$G$7:$G$19,0)),"Gerät falsch",LOOKUP(VALUE(MID(G878,1,2)),Schwierigkeitsstufen!$G$7:$G$19,Schwierigkeitsstufen!$H$7:$H$19)))</f>
        <v/>
      </c>
      <c r="AB878" s="250" t="str">
        <f>IF((($A878="")*($B878=""))+((MID($Y878,1,4)&lt;&gt;"Wahl")*(Deckblatt!$C$14='WK-Vorlagen'!$C$82))+(Deckblatt!$C$14&lt;&gt;'WK-Vorlagen'!$C$82),"",IF(ISERROR(MATCH(VALUE(MID(H878,1,2)),Schwierigkeitsstufen!$G$7:$G$19,0)),"Gerät falsch",LOOKUP(VALUE(MID(H878,1,2)),Schwierigkeitsstufen!$G$7:$G$19,Schwierigkeitsstufen!$H$7:$H$19)))</f>
        <v/>
      </c>
      <c r="AC878" s="250" t="str">
        <f>IF((($A878="")*($B878=""))+((MID($Y878,1,4)&lt;&gt;"Wahl")*(Deckblatt!$C$14='WK-Vorlagen'!$C$82))+(Deckblatt!$C$14&lt;&gt;'WK-Vorlagen'!$C$82),"",IF(ISERROR(MATCH(VALUE(MID(I878,1,2)),Schwierigkeitsstufen!$G$7:$G$19,0)),"Gerät falsch",LOOKUP(VALUE(MID(I878,1,2)),Schwierigkeitsstufen!$G$7:$G$19,Schwierigkeitsstufen!$H$7:$H$19)))</f>
        <v/>
      </c>
      <c r="AD878" s="251" t="str">
        <f>IF((($A878="")*($B878=""))+((MID($Y878,1,4)&lt;&gt;"Wahl")*(Deckblatt!$C$14='WK-Vorlagen'!$C$82))+(Deckblatt!$C$14&lt;&gt;'WK-Vorlagen'!$C$82),"",IF(ISERROR(MATCH(VALUE(MID(J878,1,2)),Schwierigkeitsstufen!$G$7:$G$19,0)),"Gerät falsch",LOOKUP(VALUE(MID(J878,1,2)),Schwierigkeitsstufen!$G$7:$G$19,Schwierigkeitsstufen!$H$7:$H$19)))</f>
        <v/>
      </c>
      <c r="AE878" s="211"/>
      <c r="AG878" s="221" t="str">
        <f t="shared" si="117"/>
        <v/>
      </c>
      <c r="AH878" s="222" t="str">
        <f t="shared" si="119"/>
        <v/>
      </c>
      <c r="AI878" s="220">
        <f t="shared" si="124"/>
        <v>4</v>
      </c>
      <c r="AJ878" s="222">
        <f t="shared" si="120"/>
        <v>0</v>
      </c>
      <c r="AK878" s="299" t="str">
        <f>IF(ISERROR(LOOKUP(E878,WKNrListe,Übersicht!$R$7:$R$46)),"-",LOOKUP(E878,WKNrListe,Übersicht!$R$7:$R$46))</f>
        <v>-</v>
      </c>
      <c r="AL878" s="299" t="str">
        <f t="shared" si="123"/>
        <v>-</v>
      </c>
      <c r="AM878" s="303"/>
      <c r="AN878" s="174" t="str">
        <f t="shared" si="116"/>
        <v>Leer</v>
      </c>
    </row>
    <row r="879" spans="1:40" s="174" customFormat="1" ht="15" customHeight="1">
      <c r="A879" s="63"/>
      <c r="B879" s="63"/>
      <c r="C879" s="84"/>
      <c r="D879" s="85"/>
      <c r="E879" s="62"/>
      <c r="F879" s="62"/>
      <c r="G879" s="62"/>
      <c r="H879" s="62"/>
      <c r="I879" s="62"/>
      <c r="J879" s="62"/>
      <c r="K879" s="62"/>
      <c r="L879" s="62"/>
      <c r="M879" s="62"/>
      <c r="N879" s="62"/>
      <c r="O879" s="62"/>
      <c r="P879" s="62"/>
      <c r="Q879" s="62"/>
      <c r="R879" s="62"/>
      <c r="S879" s="258"/>
      <c r="T879" s="248" t="str">
        <f t="shared" si="121"/>
        <v/>
      </c>
      <c r="U879" s="249" t="str">
        <f t="shared" si="122"/>
        <v/>
      </c>
      <c r="V879" s="294" t="str">
        <f t="shared" si="118"/>
        <v/>
      </c>
      <c r="W879" s="294" t="str">
        <f>IF(((E879="")+(F879="")),"",IF(VLOOKUP(F879,Mannschaften!$A$1:$B$54,2,FALSE)&lt;&gt;E879,"Reiter Mannschaften füllen",""))</f>
        <v/>
      </c>
      <c r="X879" s="248" t="str">
        <f>IF(ISBLANK(C879),"",IF((U879&gt;(LOOKUP(E879,WKNrListe,Übersicht!$O$7:$O$46)))+(U879&lt;(LOOKUP(E879,WKNrListe,Übersicht!$P$7:$P$46))),"JG falsch",""))</f>
        <v/>
      </c>
      <c r="Y879" s="255" t="str">
        <f>IF((A879="")*(B879=""),"",IF(ISERROR(MATCH(E879,WKNrListe,0)),"WK falsch",LOOKUP(E879,WKNrListe,Übersicht!$B$7:$B$46)))</f>
        <v/>
      </c>
      <c r="Z879" s="269" t="str">
        <f>IF(((AJ879=0)*(AH879&lt;&gt;"")*(AK879="-"))+((AJ879&lt;&gt;0)*(AH879&lt;&gt;"")*(AK879="-")),IF(AG879="X",Übersicht!$C$70,Übersicht!$C$69),"-")</f>
        <v>-</v>
      </c>
      <c r="AA879" s="252" t="str">
        <f>IF((($A879="")*($B879=""))+((MID($Y879,1,4)&lt;&gt;"Wahl")*(Deckblatt!$C$14='WK-Vorlagen'!$C$82))+(Deckblatt!$C$14&lt;&gt;'WK-Vorlagen'!$C$82),"",IF(ISERROR(MATCH(VALUE(MID(G879,1,2)),Schwierigkeitsstufen!$G$7:$G$19,0)),"Gerät falsch",LOOKUP(VALUE(MID(G879,1,2)),Schwierigkeitsstufen!$G$7:$G$19,Schwierigkeitsstufen!$H$7:$H$19)))</f>
        <v/>
      </c>
      <c r="AB879" s="250" t="str">
        <f>IF((($A879="")*($B879=""))+((MID($Y879,1,4)&lt;&gt;"Wahl")*(Deckblatt!$C$14='WK-Vorlagen'!$C$82))+(Deckblatt!$C$14&lt;&gt;'WK-Vorlagen'!$C$82),"",IF(ISERROR(MATCH(VALUE(MID(H879,1,2)),Schwierigkeitsstufen!$G$7:$G$19,0)),"Gerät falsch",LOOKUP(VALUE(MID(H879,1,2)),Schwierigkeitsstufen!$G$7:$G$19,Schwierigkeitsstufen!$H$7:$H$19)))</f>
        <v/>
      </c>
      <c r="AC879" s="250" t="str">
        <f>IF((($A879="")*($B879=""))+((MID($Y879,1,4)&lt;&gt;"Wahl")*(Deckblatt!$C$14='WK-Vorlagen'!$C$82))+(Deckblatt!$C$14&lt;&gt;'WK-Vorlagen'!$C$82),"",IF(ISERROR(MATCH(VALUE(MID(I879,1,2)),Schwierigkeitsstufen!$G$7:$G$19,0)),"Gerät falsch",LOOKUP(VALUE(MID(I879,1,2)),Schwierigkeitsstufen!$G$7:$G$19,Schwierigkeitsstufen!$H$7:$H$19)))</f>
        <v/>
      </c>
      <c r="AD879" s="251" t="str">
        <f>IF((($A879="")*($B879=""))+((MID($Y879,1,4)&lt;&gt;"Wahl")*(Deckblatt!$C$14='WK-Vorlagen'!$C$82))+(Deckblatt!$C$14&lt;&gt;'WK-Vorlagen'!$C$82),"",IF(ISERROR(MATCH(VALUE(MID(J879,1,2)),Schwierigkeitsstufen!$G$7:$G$19,0)),"Gerät falsch",LOOKUP(VALUE(MID(J879,1,2)),Schwierigkeitsstufen!$G$7:$G$19,Schwierigkeitsstufen!$H$7:$H$19)))</f>
        <v/>
      </c>
      <c r="AE879" s="211"/>
      <c r="AG879" s="221" t="str">
        <f t="shared" si="117"/>
        <v/>
      </c>
      <c r="AH879" s="222" t="str">
        <f t="shared" si="119"/>
        <v/>
      </c>
      <c r="AI879" s="220">
        <f t="shared" si="124"/>
        <v>4</v>
      </c>
      <c r="AJ879" s="222">
        <f t="shared" si="120"/>
        <v>0</v>
      </c>
      <c r="AK879" s="299" t="str">
        <f>IF(ISERROR(LOOKUP(E879,WKNrListe,Übersicht!$R$7:$R$46)),"-",LOOKUP(E879,WKNrListe,Übersicht!$R$7:$R$46))</f>
        <v>-</v>
      </c>
      <c r="AL879" s="299" t="str">
        <f t="shared" si="123"/>
        <v>-</v>
      </c>
      <c r="AM879" s="303"/>
      <c r="AN879" s="174" t="str">
        <f t="shared" ref="AN879:AN942" si="125">IF(ISBLANK(A879)*ISBLANK(B879)*ISBLANK(C879)*ISBLANK(E879)*ISBLANK(F879)*ISBLANK(G879)*ISBLANK(H879)*ISBLANK(I879)*ISBLANK(J879),"Leer","Voll")</f>
        <v>Leer</v>
      </c>
    </row>
    <row r="880" spans="1:40" s="174" customFormat="1" ht="15" customHeight="1">
      <c r="A880" s="63"/>
      <c r="B880" s="63"/>
      <c r="C880" s="84"/>
      <c r="D880" s="85"/>
      <c r="E880" s="62"/>
      <c r="F880" s="62"/>
      <c r="G880" s="62"/>
      <c r="H880" s="62"/>
      <c r="I880" s="62"/>
      <c r="J880" s="62"/>
      <c r="K880" s="62"/>
      <c r="L880" s="62"/>
      <c r="M880" s="62"/>
      <c r="N880" s="62"/>
      <c r="O880" s="62"/>
      <c r="P880" s="62"/>
      <c r="Q880" s="62"/>
      <c r="R880" s="62"/>
      <c r="S880" s="258"/>
      <c r="T880" s="248" t="str">
        <f t="shared" si="121"/>
        <v/>
      </c>
      <c r="U880" s="249" t="str">
        <f t="shared" si="122"/>
        <v/>
      </c>
      <c r="V880" s="294" t="str">
        <f t="shared" si="118"/>
        <v/>
      </c>
      <c r="W880" s="294" t="str">
        <f>IF(((E880="")+(F880="")),"",IF(VLOOKUP(F880,Mannschaften!$A$1:$B$54,2,FALSE)&lt;&gt;E880,"Reiter Mannschaften füllen",""))</f>
        <v/>
      </c>
      <c r="X880" s="248" t="str">
        <f>IF(ISBLANK(C880),"",IF((U880&gt;(LOOKUP(E880,WKNrListe,Übersicht!$O$7:$O$46)))+(U880&lt;(LOOKUP(E880,WKNrListe,Übersicht!$P$7:$P$46))),"JG falsch",""))</f>
        <v/>
      </c>
      <c r="Y880" s="255" t="str">
        <f>IF((A880="")*(B880=""),"",IF(ISERROR(MATCH(E880,WKNrListe,0)),"WK falsch",LOOKUP(E880,WKNrListe,Übersicht!$B$7:$B$46)))</f>
        <v/>
      </c>
      <c r="Z880" s="269" t="str">
        <f>IF(((AJ880=0)*(AH880&lt;&gt;"")*(AK880="-"))+((AJ880&lt;&gt;0)*(AH880&lt;&gt;"")*(AK880="-")),IF(AG880="X",Übersicht!$C$70,Übersicht!$C$69),"-")</f>
        <v>-</v>
      </c>
      <c r="AA880" s="252" t="str">
        <f>IF((($A880="")*($B880=""))+((MID($Y880,1,4)&lt;&gt;"Wahl")*(Deckblatt!$C$14='WK-Vorlagen'!$C$82))+(Deckblatt!$C$14&lt;&gt;'WK-Vorlagen'!$C$82),"",IF(ISERROR(MATCH(VALUE(MID(G880,1,2)),Schwierigkeitsstufen!$G$7:$G$19,0)),"Gerät falsch",LOOKUP(VALUE(MID(G880,1,2)),Schwierigkeitsstufen!$G$7:$G$19,Schwierigkeitsstufen!$H$7:$H$19)))</f>
        <v/>
      </c>
      <c r="AB880" s="250" t="str">
        <f>IF((($A880="")*($B880=""))+((MID($Y880,1,4)&lt;&gt;"Wahl")*(Deckblatt!$C$14='WK-Vorlagen'!$C$82))+(Deckblatt!$C$14&lt;&gt;'WK-Vorlagen'!$C$82),"",IF(ISERROR(MATCH(VALUE(MID(H880,1,2)),Schwierigkeitsstufen!$G$7:$G$19,0)),"Gerät falsch",LOOKUP(VALUE(MID(H880,1,2)),Schwierigkeitsstufen!$G$7:$G$19,Schwierigkeitsstufen!$H$7:$H$19)))</f>
        <v/>
      </c>
      <c r="AC880" s="250" t="str">
        <f>IF((($A880="")*($B880=""))+((MID($Y880,1,4)&lt;&gt;"Wahl")*(Deckblatt!$C$14='WK-Vorlagen'!$C$82))+(Deckblatt!$C$14&lt;&gt;'WK-Vorlagen'!$C$82),"",IF(ISERROR(MATCH(VALUE(MID(I880,1,2)),Schwierigkeitsstufen!$G$7:$G$19,0)),"Gerät falsch",LOOKUP(VALUE(MID(I880,1,2)),Schwierigkeitsstufen!$G$7:$G$19,Schwierigkeitsstufen!$H$7:$H$19)))</f>
        <v/>
      </c>
      <c r="AD880" s="251" t="str">
        <f>IF((($A880="")*($B880=""))+((MID($Y880,1,4)&lt;&gt;"Wahl")*(Deckblatt!$C$14='WK-Vorlagen'!$C$82))+(Deckblatt!$C$14&lt;&gt;'WK-Vorlagen'!$C$82),"",IF(ISERROR(MATCH(VALUE(MID(J880,1,2)),Schwierigkeitsstufen!$G$7:$G$19,0)),"Gerät falsch",LOOKUP(VALUE(MID(J880,1,2)),Schwierigkeitsstufen!$G$7:$G$19,Schwierigkeitsstufen!$H$7:$H$19)))</f>
        <v/>
      </c>
      <c r="AE880" s="211"/>
      <c r="AG880" s="221" t="str">
        <f t="shared" si="117"/>
        <v/>
      </c>
      <c r="AH880" s="222" t="str">
        <f t="shared" si="119"/>
        <v/>
      </c>
      <c r="AI880" s="220">
        <f t="shared" si="124"/>
        <v>4</v>
      </c>
      <c r="AJ880" s="222">
        <f t="shared" si="120"/>
        <v>0</v>
      </c>
      <c r="AK880" s="299" t="str">
        <f>IF(ISERROR(LOOKUP(E880,WKNrListe,Übersicht!$R$7:$R$46)),"-",LOOKUP(E880,WKNrListe,Übersicht!$R$7:$R$46))</f>
        <v>-</v>
      </c>
      <c r="AL880" s="299" t="str">
        <f t="shared" si="123"/>
        <v>-</v>
      </c>
      <c r="AM880" s="303"/>
      <c r="AN880" s="174" t="str">
        <f t="shared" si="125"/>
        <v>Leer</v>
      </c>
    </row>
    <row r="881" spans="1:40" s="174" customFormat="1" ht="15" customHeight="1">
      <c r="A881" s="63"/>
      <c r="B881" s="63"/>
      <c r="C881" s="84"/>
      <c r="D881" s="85"/>
      <c r="E881" s="62"/>
      <c r="F881" s="62"/>
      <c r="G881" s="62"/>
      <c r="H881" s="62"/>
      <c r="I881" s="62"/>
      <c r="J881" s="62"/>
      <c r="K881" s="62"/>
      <c r="L881" s="62"/>
      <c r="M881" s="62"/>
      <c r="N881" s="62"/>
      <c r="O881" s="62"/>
      <c r="P881" s="62"/>
      <c r="Q881" s="62"/>
      <c r="R881" s="62"/>
      <c r="S881" s="258"/>
      <c r="T881" s="248" t="str">
        <f t="shared" si="121"/>
        <v/>
      </c>
      <c r="U881" s="249" t="str">
        <f t="shared" si="122"/>
        <v/>
      </c>
      <c r="V881" s="294" t="str">
        <f t="shared" si="118"/>
        <v/>
      </c>
      <c r="W881" s="294" t="str">
        <f>IF(((E881="")+(F881="")),"",IF(VLOOKUP(F881,Mannschaften!$A$1:$B$54,2,FALSE)&lt;&gt;E881,"Reiter Mannschaften füllen",""))</f>
        <v/>
      </c>
      <c r="X881" s="248" t="str">
        <f>IF(ISBLANK(C881),"",IF((U881&gt;(LOOKUP(E881,WKNrListe,Übersicht!$O$7:$O$46)))+(U881&lt;(LOOKUP(E881,WKNrListe,Übersicht!$P$7:$P$46))),"JG falsch",""))</f>
        <v/>
      </c>
      <c r="Y881" s="255" t="str">
        <f>IF((A881="")*(B881=""),"",IF(ISERROR(MATCH(E881,WKNrListe,0)),"WK falsch",LOOKUP(E881,WKNrListe,Übersicht!$B$7:$B$46)))</f>
        <v/>
      </c>
      <c r="Z881" s="269" t="str">
        <f>IF(((AJ881=0)*(AH881&lt;&gt;"")*(AK881="-"))+((AJ881&lt;&gt;0)*(AH881&lt;&gt;"")*(AK881="-")),IF(AG881="X",Übersicht!$C$70,Übersicht!$C$69),"-")</f>
        <v>-</v>
      </c>
      <c r="AA881" s="252" t="str">
        <f>IF((($A881="")*($B881=""))+((MID($Y881,1,4)&lt;&gt;"Wahl")*(Deckblatt!$C$14='WK-Vorlagen'!$C$82))+(Deckblatt!$C$14&lt;&gt;'WK-Vorlagen'!$C$82),"",IF(ISERROR(MATCH(VALUE(MID(G881,1,2)),Schwierigkeitsstufen!$G$7:$G$19,0)),"Gerät falsch",LOOKUP(VALUE(MID(G881,1,2)),Schwierigkeitsstufen!$G$7:$G$19,Schwierigkeitsstufen!$H$7:$H$19)))</f>
        <v/>
      </c>
      <c r="AB881" s="250" t="str">
        <f>IF((($A881="")*($B881=""))+((MID($Y881,1,4)&lt;&gt;"Wahl")*(Deckblatt!$C$14='WK-Vorlagen'!$C$82))+(Deckblatt!$C$14&lt;&gt;'WK-Vorlagen'!$C$82),"",IF(ISERROR(MATCH(VALUE(MID(H881,1,2)),Schwierigkeitsstufen!$G$7:$G$19,0)),"Gerät falsch",LOOKUP(VALUE(MID(H881,1,2)),Schwierigkeitsstufen!$G$7:$G$19,Schwierigkeitsstufen!$H$7:$H$19)))</f>
        <v/>
      </c>
      <c r="AC881" s="250" t="str">
        <f>IF((($A881="")*($B881=""))+((MID($Y881,1,4)&lt;&gt;"Wahl")*(Deckblatt!$C$14='WK-Vorlagen'!$C$82))+(Deckblatt!$C$14&lt;&gt;'WK-Vorlagen'!$C$82),"",IF(ISERROR(MATCH(VALUE(MID(I881,1,2)),Schwierigkeitsstufen!$G$7:$G$19,0)),"Gerät falsch",LOOKUP(VALUE(MID(I881,1,2)),Schwierigkeitsstufen!$G$7:$G$19,Schwierigkeitsstufen!$H$7:$H$19)))</f>
        <v/>
      </c>
      <c r="AD881" s="251" t="str">
        <f>IF((($A881="")*($B881=""))+((MID($Y881,1,4)&lt;&gt;"Wahl")*(Deckblatt!$C$14='WK-Vorlagen'!$C$82))+(Deckblatt!$C$14&lt;&gt;'WK-Vorlagen'!$C$82),"",IF(ISERROR(MATCH(VALUE(MID(J881,1,2)),Schwierigkeitsstufen!$G$7:$G$19,0)),"Gerät falsch",LOOKUP(VALUE(MID(J881,1,2)),Schwierigkeitsstufen!$G$7:$G$19,Schwierigkeitsstufen!$H$7:$H$19)))</f>
        <v/>
      </c>
      <c r="AE881" s="211"/>
      <c r="AG881" s="221" t="str">
        <f t="shared" si="117"/>
        <v/>
      </c>
      <c r="AH881" s="222" t="str">
        <f t="shared" si="119"/>
        <v/>
      </c>
      <c r="AI881" s="220">
        <f t="shared" si="124"/>
        <v>4</v>
      </c>
      <c r="AJ881" s="222">
        <f t="shared" si="120"/>
        <v>0</v>
      </c>
      <c r="AK881" s="299" t="str">
        <f>IF(ISERROR(LOOKUP(E881,WKNrListe,Übersicht!$R$7:$R$46)),"-",LOOKUP(E881,WKNrListe,Übersicht!$R$7:$R$46))</f>
        <v>-</v>
      </c>
      <c r="AL881" s="299" t="str">
        <f t="shared" si="123"/>
        <v>-</v>
      </c>
      <c r="AM881" s="303"/>
      <c r="AN881" s="174" t="str">
        <f t="shared" si="125"/>
        <v>Leer</v>
      </c>
    </row>
    <row r="882" spans="1:40" s="174" customFormat="1" ht="15" customHeight="1">
      <c r="A882" s="63"/>
      <c r="B882" s="63"/>
      <c r="C882" s="84"/>
      <c r="D882" s="85"/>
      <c r="E882" s="62"/>
      <c r="F882" s="62"/>
      <c r="G882" s="62"/>
      <c r="H882" s="62"/>
      <c r="I882" s="62"/>
      <c r="J882" s="62"/>
      <c r="K882" s="62"/>
      <c r="L882" s="62"/>
      <c r="M882" s="62"/>
      <c r="N882" s="62"/>
      <c r="O882" s="62"/>
      <c r="P882" s="62"/>
      <c r="Q882" s="62"/>
      <c r="R882" s="62"/>
      <c r="S882" s="258"/>
      <c r="T882" s="248" t="str">
        <f t="shared" si="121"/>
        <v/>
      </c>
      <c r="U882" s="249" t="str">
        <f t="shared" si="122"/>
        <v/>
      </c>
      <c r="V882" s="294" t="str">
        <f t="shared" si="118"/>
        <v/>
      </c>
      <c r="W882" s="294" t="str">
        <f>IF(((E882="")+(F882="")),"",IF(VLOOKUP(F882,Mannschaften!$A$1:$B$54,2,FALSE)&lt;&gt;E882,"Reiter Mannschaften füllen",""))</f>
        <v/>
      </c>
      <c r="X882" s="248" t="str">
        <f>IF(ISBLANK(C882),"",IF((U882&gt;(LOOKUP(E882,WKNrListe,Übersicht!$O$7:$O$46)))+(U882&lt;(LOOKUP(E882,WKNrListe,Übersicht!$P$7:$P$46))),"JG falsch",""))</f>
        <v/>
      </c>
      <c r="Y882" s="255" t="str">
        <f>IF((A882="")*(B882=""),"",IF(ISERROR(MATCH(E882,WKNrListe,0)),"WK falsch",LOOKUP(E882,WKNrListe,Übersicht!$B$7:$B$46)))</f>
        <v/>
      </c>
      <c r="Z882" s="269" t="str">
        <f>IF(((AJ882=0)*(AH882&lt;&gt;"")*(AK882="-"))+((AJ882&lt;&gt;0)*(AH882&lt;&gt;"")*(AK882="-")),IF(AG882="X",Übersicht!$C$70,Übersicht!$C$69),"-")</f>
        <v>-</v>
      </c>
      <c r="AA882" s="252" t="str">
        <f>IF((($A882="")*($B882=""))+((MID($Y882,1,4)&lt;&gt;"Wahl")*(Deckblatt!$C$14='WK-Vorlagen'!$C$82))+(Deckblatt!$C$14&lt;&gt;'WK-Vorlagen'!$C$82),"",IF(ISERROR(MATCH(VALUE(MID(G882,1,2)),Schwierigkeitsstufen!$G$7:$G$19,0)),"Gerät falsch",LOOKUP(VALUE(MID(G882,1,2)),Schwierigkeitsstufen!$G$7:$G$19,Schwierigkeitsstufen!$H$7:$H$19)))</f>
        <v/>
      </c>
      <c r="AB882" s="250" t="str">
        <f>IF((($A882="")*($B882=""))+((MID($Y882,1,4)&lt;&gt;"Wahl")*(Deckblatt!$C$14='WK-Vorlagen'!$C$82))+(Deckblatt!$C$14&lt;&gt;'WK-Vorlagen'!$C$82),"",IF(ISERROR(MATCH(VALUE(MID(H882,1,2)),Schwierigkeitsstufen!$G$7:$G$19,0)),"Gerät falsch",LOOKUP(VALUE(MID(H882,1,2)),Schwierigkeitsstufen!$G$7:$G$19,Schwierigkeitsstufen!$H$7:$H$19)))</f>
        <v/>
      </c>
      <c r="AC882" s="250" t="str">
        <f>IF((($A882="")*($B882=""))+((MID($Y882,1,4)&lt;&gt;"Wahl")*(Deckblatt!$C$14='WK-Vorlagen'!$C$82))+(Deckblatt!$C$14&lt;&gt;'WK-Vorlagen'!$C$82),"",IF(ISERROR(MATCH(VALUE(MID(I882,1,2)),Schwierigkeitsstufen!$G$7:$G$19,0)),"Gerät falsch",LOOKUP(VALUE(MID(I882,1,2)),Schwierigkeitsstufen!$G$7:$G$19,Schwierigkeitsstufen!$H$7:$H$19)))</f>
        <v/>
      </c>
      <c r="AD882" s="251" t="str">
        <f>IF((($A882="")*($B882=""))+((MID($Y882,1,4)&lt;&gt;"Wahl")*(Deckblatt!$C$14='WK-Vorlagen'!$C$82))+(Deckblatt!$C$14&lt;&gt;'WK-Vorlagen'!$C$82),"",IF(ISERROR(MATCH(VALUE(MID(J882,1,2)),Schwierigkeitsstufen!$G$7:$G$19,0)),"Gerät falsch",LOOKUP(VALUE(MID(J882,1,2)),Schwierigkeitsstufen!$G$7:$G$19,Schwierigkeitsstufen!$H$7:$H$19)))</f>
        <v/>
      </c>
      <c r="AE882" s="211"/>
      <c r="AG882" s="221" t="str">
        <f t="shared" si="117"/>
        <v/>
      </c>
      <c r="AH882" s="222" t="str">
        <f t="shared" si="119"/>
        <v/>
      </c>
      <c r="AI882" s="220">
        <f t="shared" si="124"/>
        <v>4</v>
      </c>
      <c r="AJ882" s="222">
        <f t="shared" si="120"/>
        <v>0</v>
      </c>
      <c r="AK882" s="299" t="str">
        <f>IF(ISERROR(LOOKUP(E882,WKNrListe,Übersicht!$R$7:$R$46)),"-",LOOKUP(E882,WKNrListe,Übersicht!$R$7:$R$46))</f>
        <v>-</v>
      </c>
      <c r="AL882" s="299" t="str">
        <f t="shared" si="123"/>
        <v>-</v>
      </c>
      <c r="AM882" s="303"/>
      <c r="AN882" s="174" t="str">
        <f t="shared" si="125"/>
        <v>Leer</v>
      </c>
    </row>
    <row r="883" spans="1:40" s="174" customFormat="1" ht="15" customHeight="1">
      <c r="A883" s="63"/>
      <c r="B883" s="63"/>
      <c r="C883" s="84"/>
      <c r="D883" s="85"/>
      <c r="E883" s="62"/>
      <c r="F883" s="62"/>
      <c r="G883" s="62"/>
      <c r="H883" s="62"/>
      <c r="I883" s="62"/>
      <c r="J883" s="62"/>
      <c r="K883" s="62"/>
      <c r="L883" s="62"/>
      <c r="M883" s="62"/>
      <c r="N883" s="62"/>
      <c r="O883" s="62"/>
      <c r="P883" s="62"/>
      <c r="Q883" s="62"/>
      <c r="R883" s="62"/>
      <c r="S883" s="258"/>
      <c r="T883" s="248" t="str">
        <f t="shared" si="121"/>
        <v/>
      </c>
      <c r="U883" s="249" t="str">
        <f t="shared" si="122"/>
        <v/>
      </c>
      <c r="V883" s="294" t="str">
        <f t="shared" si="118"/>
        <v/>
      </c>
      <c r="W883" s="294" t="str">
        <f>IF(((E883="")+(F883="")),"",IF(VLOOKUP(F883,Mannschaften!$A$1:$B$54,2,FALSE)&lt;&gt;E883,"Reiter Mannschaften füllen",""))</f>
        <v/>
      </c>
      <c r="X883" s="248" t="str">
        <f>IF(ISBLANK(C883),"",IF((U883&gt;(LOOKUP(E883,WKNrListe,Übersicht!$O$7:$O$46)))+(U883&lt;(LOOKUP(E883,WKNrListe,Übersicht!$P$7:$P$46))),"JG falsch",""))</f>
        <v/>
      </c>
      <c r="Y883" s="255" t="str">
        <f>IF((A883="")*(B883=""),"",IF(ISERROR(MATCH(E883,WKNrListe,0)),"WK falsch",LOOKUP(E883,WKNrListe,Übersicht!$B$7:$B$46)))</f>
        <v/>
      </c>
      <c r="Z883" s="269" t="str">
        <f>IF(((AJ883=0)*(AH883&lt;&gt;"")*(AK883="-"))+((AJ883&lt;&gt;0)*(AH883&lt;&gt;"")*(AK883="-")),IF(AG883="X",Übersicht!$C$70,Übersicht!$C$69),"-")</f>
        <v>-</v>
      </c>
      <c r="AA883" s="252" t="str">
        <f>IF((($A883="")*($B883=""))+((MID($Y883,1,4)&lt;&gt;"Wahl")*(Deckblatt!$C$14='WK-Vorlagen'!$C$82))+(Deckblatt!$C$14&lt;&gt;'WK-Vorlagen'!$C$82),"",IF(ISERROR(MATCH(VALUE(MID(G883,1,2)),Schwierigkeitsstufen!$G$7:$G$19,0)),"Gerät falsch",LOOKUP(VALUE(MID(G883,1,2)),Schwierigkeitsstufen!$G$7:$G$19,Schwierigkeitsstufen!$H$7:$H$19)))</f>
        <v/>
      </c>
      <c r="AB883" s="250" t="str">
        <f>IF((($A883="")*($B883=""))+((MID($Y883,1,4)&lt;&gt;"Wahl")*(Deckblatt!$C$14='WK-Vorlagen'!$C$82))+(Deckblatt!$C$14&lt;&gt;'WK-Vorlagen'!$C$82),"",IF(ISERROR(MATCH(VALUE(MID(H883,1,2)),Schwierigkeitsstufen!$G$7:$G$19,0)),"Gerät falsch",LOOKUP(VALUE(MID(H883,1,2)),Schwierigkeitsstufen!$G$7:$G$19,Schwierigkeitsstufen!$H$7:$H$19)))</f>
        <v/>
      </c>
      <c r="AC883" s="250" t="str">
        <f>IF((($A883="")*($B883=""))+((MID($Y883,1,4)&lt;&gt;"Wahl")*(Deckblatt!$C$14='WK-Vorlagen'!$C$82))+(Deckblatt!$C$14&lt;&gt;'WK-Vorlagen'!$C$82),"",IF(ISERROR(MATCH(VALUE(MID(I883,1,2)),Schwierigkeitsstufen!$G$7:$G$19,0)),"Gerät falsch",LOOKUP(VALUE(MID(I883,1,2)),Schwierigkeitsstufen!$G$7:$G$19,Schwierigkeitsstufen!$H$7:$H$19)))</f>
        <v/>
      </c>
      <c r="AD883" s="251" t="str">
        <f>IF((($A883="")*($B883=""))+((MID($Y883,1,4)&lt;&gt;"Wahl")*(Deckblatt!$C$14='WK-Vorlagen'!$C$82))+(Deckblatt!$C$14&lt;&gt;'WK-Vorlagen'!$C$82),"",IF(ISERROR(MATCH(VALUE(MID(J883,1,2)),Schwierigkeitsstufen!$G$7:$G$19,0)),"Gerät falsch",LOOKUP(VALUE(MID(J883,1,2)),Schwierigkeitsstufen!$G$7:$G$19,Schwierigkeitsstufen!$H$7:$H$19)))</f>
        <v/>
      </c>
      <c r="AE883" s="211"/>
      <c r="AG883" s="221" t="str">
        <f t="shared" si="117"/>
        <v/>
      </c>
      <c r="AH883" s="222" t="str">
        <f t="shared" si="119"/>
        <v/>
      </c>
      <c r="AI883" s="220">
        <f t="shared" si="124"/>
        <v>4</v>
      </c>
      <c r="AJ883" s="222">
        <f t="shared" si="120"/>
        <v>0</v>
      </c>
      <c r="AK883" s="299" t="str">
        <f>IF(ISERROR(LOOKUP(E883,WKNrListe,Übersicht!$R$7:$R$46)),"-",LOOKUP(E883,WKNrListe,Übersicht!$R$7:$R$46))</f>
        <v>-</v>
      </c>
      <c r="AL883" s="299" t="str">
        <f t="shared" si="123"/>
        <v>-</v>
      </c>
      <c r="AM883" s="303"/>
      <c r="AN883" s="174" t="str">
        <f t="shared" si="125"/>
        <v>Leer</v>
      </c>
    </row>
    <row r="884" spans="1:40" s="174" customFormat="1" ht="15" customHeight="1">
      <c r="A884" s="63"/>
      <c r="B884" s="63"/>
      <c r="C884" s="84"/>
      <c r="D884" s="85"/>
      <c r="E884" s="62"/>
      <c r="F884" s="62"/>
      <c r="G884" s="62"/>
      <c r="H884" s="62"/>
      <c r="I884" s="62"/>
      <c r="J884" s="62"/>
      <c r="K884" s="62"/>
      <c r="L884" s="62"/>
      <c r="M884" s="62"/>
      <c r="N884" s="62"/>
      <c r="O884" s="62"/>
      <c r="P884" s="62"/>
      <c r="Q884" s="62"/>
      <c r="R884" s="62"/>
      <c r="S884" s="258"/>
      <c r="T884" s="248" t="str">
        <f t="shared" si="121"/>
        <v/>
      </c>
      <c r="U884" s="249" t="str">
        <f t="shared" si="122"/>
        <v/>
      </c>
      <c r="V884" s="294" t="str">
        <f t="shared" si="118"/>
        <v/>
      </c>
      <c r="W884" s="294" t="str">
        <f>IF(((E884="")+(F884="")),"",IF(VLOOKUP(F884,Mannschaften!$A$1:$B$54,2,FALSE)&lt;&gt;E884,"Reiter Mannschaften füllen",""))</f>
        <v/>
      </c>
      <c r="X884" s="248" t="str">
        <f>IF(ISBLANK(C884),"",IF((U884&gt;(LOOKUP(E884,WKNrListe,Übersicht!$O$7:$O$46)))+(U884&lt;(LOOKUP(E884,WKNrListe,Übersicht!$P$7:$P$46))),"JG falsch",""))</f>
        <v/>
      </c>
      <c r="Y884" s="255" t="str">
        <f>IF((A884="")*(B884=""),"",IF(ISERROR(MATCH(E884,WKNrListe,0)),"WK falsch",LOOKUP(E884,WKNrListe,Übersicht!$B$7:$B$46)))</f>
        <v/>
      </c>
      <c r="Z884" s="269" t="str">
        <f>IF(((AJ884=0)*(AH884&lt;&gt;"")*(AK884="-"))+((AJ884&lt;&gt;0)*(AH884&lt;&gt;"")*(AK884="-")),IF(AG884="X",Übersicht!$C$70,Übersicht!$C$69),"-")</f>
        <v>-</v>
      </c>
      <c r="AA884" s="252" t="str">
        <f>IF((($A884="")*($B884=""))+((MID($Y884,1,4)&lt;&gt;"Wahl")*(Deckblatt!$C$14='WK-Vorlagen'!$C$82))+(Deckblatt!$C$14&lt;&gt;'WK-Vorlagen'!$C$82),"",IF(ISERROR(MATCH(VALUE(MID(G884,1,2)),Schwierigkeitsstufen!$G$7:$G$19,0)),"Gerät falsch",LOOKUP(VALUE(MID(G884,1,2)),Schwierigkeitsstufen!$G$7:$G$19,Schwierigkeitsstufen!$H$7:$H$19)))</f>
        <v/>
      </c>
      <c r="AB884" s="250" t="str">
        <f>IF((($A884="")*($B884=""))+((MID($Y884,1,4)&lt;&gt;"Wahl")*(Deckblatt!$C$14='WK-Vorlagen'!$C$82))+(Deckblatt!$C$14&lt;&gt;'WK-Vorlagen'!$C$82),"",IF(ISERROR(MATCH(VALUE(MID(H884,1,2)),Schwierigkeitsstufen!$G$7:$G$19,0)),"Gerät falsch",LOOKUP(VALUE(MID(H884,1,2)),Schwierigkeitsstufen!$G$7:$G$19,Schwierigkeitsstufen!$H$7:$H$19)))</f>
        <v/>
      </c>
      <c r="AC884" s="250" t="str">
        <f>IF((($A884="")*($B884=""))+((MID($Y884,1,4)&lt;&gt;"Wahl")*(Deckblatt!$C$14='WK-Vorlagen'!$C$82))+(Deckblatt!$C$14&lt;&gt;'WK-Vorlagen'!$C$82),"",IF(ISERROR(MATCH(VALUE(MID(I884,1,2)),Schwierigkeitsstufen!$G$7:$G$19,0)),"Gerät falsch",LOOKUP(VALUE(MID(I884,1,2)),Schwierigkeitsstufen!$G$7:$G$19,Schwierigkeitsstufen!$H$7:$H$19)))</f>
        <v/>
      </c>
      <c r="AD884" s="251" t="str">
        <f>IF((($A884="")*($B884=""))+((MID($Y884,1,4)&lt;&gt;"Wahl")*(Deckblatt!$C$14='WK-Vorlagen'!$C$82))+(Deckblatt!$C$14&lt;&gt;'WK-Vorlagen'!$C$82),"",IF(ISERROR(MATCH(VALUE(MID(J884,1,2)),Schwierigkeitsstufen!$G$7:$G$19,0)),"Gerät falsch",LOOKUP(VALUE(MID(J884,1,2)),Schwierigkeitsstufen!$G$7:$G$19,Schwierigkeitsstufen!$H$7:$H$19)))</f>
        <v/>
      </c>
      <c r="AE884" s="211"/>
      <c r="AG884" s="221" t="str">
        <f t="shared" si="117"/>
        <v/>
      </c>
      <c r="AH884" s="222" t="str">
        <f t="shared" si="119"/>
        <v/>
      </c>
      <c r="AI884" s="220">
        <f t="shared" si="124"/>
        <v>4</v>
      </c>
      <c r="AJ884" s="222">
        <f t="shared" si="120"/>
        <v>0</v>
      </c>
      <c r="AK884" s="299" t="str">
        <f>IF(ISERROR(LOOKUP(E884,WKNrListe,Übersicht!$R$7:$R$46)),"-",LOOKUP(E884,WKNrListe,Übersicht!$R$7:$R$46))</f>
        <v>-</v>
      </c>
      <c r="AL884" s="299" t="str">
        <f t="shared" si="123"/>
        <v>-</v>
      </c>
      <c r="AM884" s="303"/>
      <c r="AN884" s="174" t="str">
        <f t="shared" si="125"/>
        <v>Leer</v>
      </c>
    </row>
    <row r="885" spans="1:40" s="174" customFormat="1" ht="15" customHeight="1">
      <c r="A885" s="63"/>
      <c r="B885" s="63"/>
      <c r="C885" s="84"/>
      <c r="D885" s="85"/>
      <c r="E885" s="62"/>
      <c r="F885" s="62"/>
      <c r="G885" s="62"/>
      <c r="H885" s="62"/>
      <c r="I885" s="62"/>
      <c r="J885" s="62"/>
      <c r="K885" s="62"/>
      <c r="L885" s="62"/>
      <c r="M885" s="62"/>
      <c r="N885" s="62"/>
      <c r="O885" s="62"/>
      <c r="P885" s="62"/>
      <c r="Q885" s="62"/>
      <c r="R885" s="62"/>
      <c r="S885" s="258"/>
      <c r="T885" s="248" t="str">
        <f t="shared" si="121"/>
        <v/>
      </c>
      <c r="U885" s="249" t="str">
        <f t="shared" si="122"/>
        <v/>
      </c>
      <c r="V885" s="294" t="str">
        <f t="shared" si="118"/>
        <v/>
      </c>
      <c r="W885" s="294" t="str">
        <f>IF(((E885="")+(F885="")),"",IF(VLOOKUP(F885,Mannschaften!$A$1:$B$54,2,FALSE)&lt;&gt;E885,"Reiter Mannschaften füllen",""))</f>
        <v/>
      </c>
      <c r="X885" s="248" t="str">
        <f>IF(ISBLANK(C885),"",IF((U885&gt;(LOOKUP(E885,WKNrListe,Übersicht!$O$7:$O$46)))+(U885&lt;(LOOKUP(E885,WKNrListe,Übersicht!$P$7:$P$46))),"JG falsch",""))</f>
        <v/>
      </c>
      <c r="Y885" s="255" t="str">
        <f>IF((A885="")*(B885=""),"",IF(ISERROR(MATCH(E885,WKNrListe,0)),"WK falsch",LOOKUP(E885,WKNrListe,Übersicht!$B$7:$B$46)))</f>
        <v/>
      </c>
      <c r="Z885" s="269" t="str">
        <f>IF(((AJ885=0)*(AH885&lt;&gt;"")*(AK885="-"))+((AJ885&lt;&gt;0)*(AH885&lt;&gt;"")*(AK885="-")),IF(AG885="X",Übersicht!$C$70,Übersicht!$C$69),"-")</f>
        <v>-</v>
      </c>
      <c r="AA885" s="252" t="str">
        <f>IF((($A885="")*($B885=""))+((MID($Y885,1,4)&lt;&gt;"Wahl")*(Deckblatt!$C$14='WK-Vorlagen'!$C$82))+(Deckblatt!$C$14&lt;&gt;'WK-Vorlagen'!$C$82),"",IF(ISERROR(MATCH(VALUE(MID(G885,1,2)),Schwierigkeitsstufen!$G$7:$G$19,0)),"Gerät falsch",LOOKUP(VALUE(MID(G885,1,2)),Schwierigkeitsstufen!$G$7:$G$19,Schwierigkeitsstufen!$H$7:$H$19)))</f>
        <v/>
      </c>
      <c r="AB885" s="250" t="str">
        <f>IF((($A885="")*($B885=""))+((MID($Y885,1,4)&lt;&gt;"Wahl")*(Deckblatt!$C$14='WK-Vorlagen'!$C$82))+(Deckblatt!$C$14&lt;&gt;'WK-Vorlagen'!$C$82),"",IF(ISERROR(MATCH(VALUE(MID(H885,1,2)),Schwierigkeitsstufen!$G$7:$G$19,0)),"Gerät falsch",LOOKUP(VALUE(MID(H885,1,2)),Schwierigkeitsstufen!$G$7:$G$19,Schwierigkeitsstufen!$H$7:$H$19)))</f>
        <v/>
      </c>
      <c r="AC885" s="250" t="str">
        <f>IF((($A885="")*($B885=""))+((MID($Y885,1,4)&lt;&gt;"Wahl")*(Deckblatt!$C$14='WK-Vorlagen'!$C$82))+(Deckblatt!$C$14&lt;&gt;'WK-Vorlagen'!$C$82),"",IF(ISERROR(MATCH(VALUE(MID(I885,1,2)),Schwierigkeitsstufen!$G$7:$G$19,0)),"Gerät falsch",LOOKUP(VALUE(MID(I885,1,2)),Schwierigkeitsstufen!$G$7:$G$19,Schwierigkeitsstufen!$H$7:$H$19)))</f>
        <v/>
      </c>
      <c r="AD885" s="251" t="str">
        <f>IF((($A885="")*($B885=""))+((MID($Y885,1,4)&lt;&gt;"Wahl")*(Deckblatt!$C$14='WK-Vorlagen'!$C$82))+(Deckblatt!$C$14&lt;&gt;'WK-Vorlagen'!$C$82),"",IF(ISERROR(MATCH(VALUE(MID(J885,1,2)),Schwierigkeitsstufen!$G$7:$G$19,0)),"Gerät falsch",LOOKUP(VALUE(MID(J885,1,2)),Schwierigkeitsstufen!$G$7:$G$19,Schwierigkeitsstufen!$H$7:$H$19)))</f>
        <v/>
      </c>
      <c r="AE885" s="211"/>
      <c r="AG885" s="221" t="str">
        <f t="shared" si="117"/>
        <v/>
      </c>
      <c r="AH885" s="222" t="str">
        <f t="shared" si="119"/>
        <v/>
      </c>
      <c r="AI885" s="220">
        <f t="shared" si="124"/>
        <v>4</v>
      </c>
      <c r="AJ885" s="222">
        <f t="shared" si="120"/>
        <v>0</v>
      </c>
      <c r="AK885" s="299" t="str">
        <f>IF(ISERROR(LOOKUP(E885,WKNrListe,Übersicht!$R$7:$R$46)),"-",LOOKUP(E885,WKNrListe,Übersicht!$R$7:$R$46))</f>
        <v>-</v>
      </c>
      <c r="AL885" s="299" t="str">
        <f t="shared" si="123"/>
        <v>-</v>
      </c>
      <c r="AM885" s="303"/>
      <c r="AN885" s="174" t="str">
        <f t="shared" si="125"/>
        <v>Leer</v>
      </c>
    </row>
    <row r="886" spans="1:40" s="174" customFormat="1" ht="15" customHeight="1">
      <c r="A886" s="63"/>
      <c r="B886" s="63"/>
      <c r="C886" s="84"/>
      <c r="D886" s="85"/>
      <c r="E886" s="62"/>
      <c r="F886" s="62"/>
      <c r="G886" s="62"/>
      <c r="H886" s="62"/>
      <c r="I886" s="62"/>
      <c r="J886" s="62"/>
      <c r="K886" s="62"/>
      <c r="L886" s="62"/>
      <c r="M886" s="62"/>
      <c r="N886" s="62"/>
      <c r="O886" s="62"/>
      <c r="P886" s="62"/>
      <c r="Q886" s="62"/>
      <c r="R886" s="62"/>
      <c r="S886" s="258"/>
      <c r="T886" s="248" t="str">
        <f t="shared" si="121"/>
        <v/>
      </c>
      <c r="U886" s="249" t="str">
        <f t="shared" si="122"/>
        <v/>
      </c>
      <c r="V886" s="294" t="str">
        <f t="shared" si="118"/>
        <v/>
      </c>
      <c r="W886" s="294" t="str">
        <f>IF(((E886="")+(F886="")),"",IF(VLOOKUP(F886,Mannschaften!$A$1:$B$54,2,FALSE)&lt;&gt;E886,"Reiter Mannschaften füllen",""))</f>
        <v/>
      </c>
      <c r="X886" s="248" t="str">
        <f>IF(ISBLANK(C886),"",IF((U886&gt;(LOOKUP(E886,WKNrListe,Übersicht!$O$7:$O$46)))+(U886&lt;(LOOKUP(E886,WKNrListe,Übersicht!$P$7:$P$46))),"JG falsch",""))</f>
        <v/>
      </c>
      <c r="Y886" s="255" t="str">
        <f>IF((A886="")*(B886=""),"",IF(ISERROR(MATCH(E886,WKNrListe,0)),"WK falsch",LOOKUP(E886,WKNrListe,Übersicht!$B$7:$B$46)))</f>
        <v/>
      </c>
      <c r="Z886" s="269" t="str">
        <f>IF(((AJ886=0)*(AH886&lt;&gt;"")*(AK886="-"))+((AJ886&lt;&gt;0)*(AH886&lt;&gt;"")*(AK886="-")),IF(AG886="X",Übersicht!$C$70,Übersicht!$C$69),"-")</f>
        <v>-</v>
      </c>
      <c r="AA886" s="252" t="str">
        <f>IF((($A886="")*($B886=""))+((MID($Y886,1,4)&lt;&gt;"Wahl")*(Deckblatt!$C$14='WK-Vorlagen'!$C$82))+(Deckblatt!$C$14&lt;&gt;'WK-Vorlagen'!$C$82),"",IF(ISERROR(MATCH(VALUE(MID(G886,1,2)),Schwierigkeitsstufen!$G$7:$G$19,0)),"Gerät falsch",LOOKUP(VALUE(MID(G886,1,2)),Schwierigkeitsstufen!$G$7:$G$19,Schwierigkeitsstufen!$H$7:$H$19)))</f>
        <v/>
      </c>
      <c r="AB886" s="250" t="str">
        <f>IF((($A886="")*($B886=""))+((MID($Y886,1,4)&lt;&gt;"Wahl")*(Deckblatt!$C$14='WK-Vorlagen'!$C$82))+(Deckblatt!$C$14&lt;&gt;'WK-Vorlagen'!$C$82),"",IF(ISERROR(MATCH(VALUE(MID(H886,1,2)),Schwierigkeitsstufen!$G$7:$G$19,0)),"Gerät falsch",LOOKUP(VALUE(MID(H886,1,2)),Schwierigkeitsstufen!$G$7:$G$19,Schwierigkeitsstufen!$H$7:$H$19)))</f>
        <v/>
      </c>
      <c r="AC886" s="250" t="str">
        <f>IF((($A886="")*($B886=""))+((MID($Y886,1,4)&lt;&gt;"Wahl")*(Deckblatt!$C$14='WK-Vorlagen'!$C$82))+(Deckblatt!$C$14&lt;&gt;'WK-Vorlagen'!$C$82),"",IF(ISERROR(MATCH(VALUE(MID(I886,1,2)),Schwierigkeitsstufen!$G$7:$G$19,0)),"Gerät falsch",LOOKUP(VALUE(MID(I886,1,2)),Schwierigkeitsstufen!$G$7:$G$19,Schwierigkeitsstufen!$H$7:$H$19)))</f>
        <v/>
      </c>
      <c r="AD886" s="251" t="str">
        <f>IF((($A886="")*($B886=""))+((MID($Y886,1,4)&lt;&gt;"Wahl")*(Deckblatt!$C$14='WK-Vorlagen'!$C$82))+(Deckblatt!$C$14&lt;&gt;'WK-Vorlagen'!$C$82),"",IF(ISERROR(MATCH(VALUE(MID(J886,1,2)),Schwierigkeitsstufen!$G$7:$G$19,0)),"Gerät falsch",LOOKUP(VALUE(MID(J886,1,2)),Schwierigkeitsstufen!$G$7:$G$19,Schwierigkeitsstufen!$H$7:$H$19)))</f>
        <v/>
      </c>
      <c r="AE886" s="211"/>
      <c r="AG886" s="221" t="str">
        <f t="shared" si="117"/>
        <v/>
      </c>
      <c r="AH886" s="222" t="str">
        <f t="shared" si="119"/>
        <v/>
      </c>
      <c r="AI886" s="220">
        <f t="shared" si="124"/>
        <v>4</v>
      </c>
      <c r="AJ886" s="222">
        <f t="shared" si="120"/>
        <v>0</v>
      </c>
      <c r="AK886" s="299" t="str">
        <f>IF(ISERROR(LOOKUP(E886,WKNrListe,Übersicht!$R$7:$R$46)),"-",LOOKUP(E886,WKNrListe,Übersicht!$R$7:$R$46))</f>
        <v>-</v>
      </c>
      <c r="AL886" s="299" t="str">
        <f t="shared" si="123"/>
        <v>-</v>
      </c>
      <c r="AM886" s="303"/>
      <c r="AN886" s="174" t="str">
        <f t="shared" si="125"/>
        <v>Leer</v>
      </c>
    </row>
    <row r="887" spans="1:40" s="174" customFormat="1" ht="15" customHeight="1">
      <c r="A887" s="63"/>
      <c r="B887" s="63"/>
      <c r="C887" s="84"/>
      <c r="D887" s="85"/>
      <c r="E887" s="62"/>
      <c r="F887" s="62"/>
      <c r="G887" s="62"/>
      <c r="H887" s="62"/>
      <c r="I887" s="62"/>
      <c r="J887" s="62"/>
      <c r="K887" s="62"/>
      <c r="L887" s="62"/>
      <c r="M887" s="62"/>
      <c r="N887" s="62"/>
      <c r="O887" s="62"/>
      <c r="P887" s="62"/>
      <c r="Q887" s="62"/>
      <c r="R887" s="62"/>
      <c r="S887" s="258"/>
      <c r="T887" s="248" t="str">
        <f t="shared" si="121"/>
        <v/>
      </c>
      <c r="U887" s="249" t="str">
        <f t="shared" si="122"/>
        <v/>
      </c>
      <c r="V887" s="294" t="str">
        <f t="shared" si="118"/>
        <v/>
      </c>
      <c r="W887" s="294" t="str">
        <f>IF(((E887="")+(F887="")),"",IF(VLOOKUP(F887,Mannschaften!$A$1:$B$54,2,FALSE)&lt;&gt;E887,"Reiter Mannschaften füllen",""))</f>
        <v/>
      </c>
      <c r="X887" s="248" t="str">
        <f>IF(ISBLANK(C887),"",IF((U887&gt;(LOOKUP(E887,WKNrListe,Übersicht!$O$7:$O$46)))+(U887&lt;(LOOKUP(E887,WKNrListe,Übersicht!$P$7:$P$46))),"JG falsch",""))</f>
        <v/>
      </c>
      <c r="Y887" s="255" t="str">
        <f>IF((A887="")*(B887=""),"",IF(ISERROR(MATCH(E887,WKNrListe,0)),"WK falsch",LOOKUP(E887,WKNrListe,Übersicht!$B$7:$B$46)))</f>
        <v/>
      </c>
      <c r="Z887" s="269" t="str">
        <f>IF(((AJ887=0)*(AH887&lt;&gt;"")*(AK887="-"))+((AJ887&lt;&gt;0)*(AH887&lt;&gt;"")*(AK887="-")),IF(AG887="X",Übersicht!$C$70,Übersicht!$C$69),"-")</f>
        <v>-</v>
      </c>
      <c r="AA887" s="252" t="str">
        <f>IF((($A887="")*($B887=""))+((MID($Y887,1,4)&lt;&gt;"Wahl")*(Deckblatt!$C$14='WK-Vorlagen'!$C$82))+(Deckblatt!$C$14&lt;&gt;'WK-Vorlagen'!$C$82),"",IF(ISERROR(MATCH(VALUE(MID(G887,1,2)),Schwierigkeitsstufen!$G$7:$G$19,0)),"Gerät falsch",LOOKUP(VALUE(MID(G887,1,2)),Schwierigkeitsstufen!$G$7:$G$19,Schwierigkeitsstufen!$H$7:$H$19)))</f>
        <v/>
      </c>
      <c r="AB887" s="250" t="str">
        <f>IF((($A887="")*($B887=""))+((MID($Y887,1,4)&lt;&gt;"Wahl")*(Deckblatt!$C$14='WK-Vorlagen'!$C$82))+(Deckblatt!$C$14&lt;&gt;'WK-Vorlagen'!$C$82),"",IF(ISERROR(MATCH(VALUE(MID(H887,1,2)),Schwierigkeitsstufen!$G$7:$G$19,0)),"Gerät falsch",LOOKUP(VALUE(MID(H887,1,2)),Schwierigkeitsstufen!$G$7:$G$19,Schwierigkeitsstufen!$H$7:$H$19)))</f>
        <v/>
      </c>
      <c r="AC887" s="250" t="str">
        <f>IF((($A887="")*($B887=""))+((MID($Y887,1,4)&lt;&gt;"Wahl")*(Deckblatt!$C$14='WK-Vorlagen'!$C$82))+(Deckblatt!$C$14&lt;&gt;'WK-Vorlagen'!$C$82),"",IF(ISERROR(MATCH(VALUE(MID(I887,1,2)),Schwierigkeitsstufen!$G$7:$G$19,0)),"Gerät falsch",LOOKUP(VALUE(MID(I887,1,2)),Schwierigkeitsstufen!$G$7:$G$19,Schwierigkeitsstufen!$H$7:$H$19)))</f>
        <v/>
      </c>
      <c r="AD887" s="251" t="str">
        <f>IF((($A887="")*($B887=""))+((MID($Y887,1,4)&lt;&gt;"Wahl")*(Deckblatt!$C$14='WK-Vorlagen'!$C$82))+(Deckblatt!$C$14&lt;&gt;'WK-Vorlagen'!$C$82),"",IF(ISERROR(MATCH(VALUE(MID(J887,1,2)),Schwierigkeitsstufen!$G$7:$G$19,0)),"Gerät falsch",LOOKUP(VALUE(MID(J887,1,2)),Schwierigkeitsstufen!$G$7:$G$19,Schwierigkeitsstufen!$H$7:$H$19)))</f>
        <v/>
      </c>
      <c r="AE887" s="211"/>
      <c r="AG887" s="221" t="str">
        <f t="shared" si="117"/>
        <v/>
      </c>
      <c r="AH887" s="222" t="str">
        <f t="shared" si="119"/>
        <v/>
      </c>
      <c r="AI887" s="220">
        <f t="shared" si="124"/>
        <v>4</v>
      </c>
      <c r="AJ887" s="222">
        <f t="shared" si="120"/>
        <v>0</v>
      </c>
      <c r="AK887" s="299" t="str">
        <f>IF(ISERROR(LOOKUP(E887,WKNrListe,Übersicht!$R$7:$R$46)),"-",LOOKUP(E887,WKNrListe,Übersicht!$R$7:$R$46))</f>
        <v>-</v>
      </c>
      <c r="AL887" s="299" t="str">
        <f t="shared" si="123"/>
        <v>-</v>
      </c>
      <c r="AM887" s="303"/>
      <c r="AN887" s="174" t="str">
        <f t="shared" si="125"/>
        <v>Leer</v>
      </c>
    </row>
    <row r="888" spans="1:40" s="174" customFormat="1" ht="15" customHeight="1">
      <c r="A888" s="63"/>
      <c r="B888" s="63"/>
      <c r="C888" s="84"/>
      <c r="D888" s="85"/>
      <c r="E888" s="62"/>
      <c r="F888" s="62"/>
      <c r="G888" s="62"/>
      <c r="H888" s="62"/>
      <c r="I888" s="62"/>
      <c r="J888" s="62"/>
      <c r="K888" s="62"/>
      <c r="L888" s="62"/>
      <c r="M888" s="62"/>
      <c r="N888" s="62"/>
      <c r="O888" s="62"/>
      <c r="P888" s="62"/>
      <c r="Q888" s="62"/>
      <c r="R888" s="62"/>
      <c r="S888" s="258"/>
      <c r="T888" s="248" t="str">
        <f t="shared" si="121"/>
        <v/>
      </c>
      <c r="U888" s="249" t="str">
        <f t="shared" si="122"/>
        <v/>
      </c>
      <c r="V888" s="294" t="str">
        <f t="shared" si="118"/>
        <v/>
      </c>
      <c r="W888" s="294" t="str">
        <f>IF(((E888="")+(F888="")),"",IF(VLOOKUP(F888,Mannschaften!$A$1:$B$54,2,FALSE)&lt;&gt;E888,"Reiter Mannschaften füllen",""))</f>
        <v/>
      </c>
      <c r="X888" s="248" t="str">
        <f>IF(ISBLANK(C888),"",IF((U888&gt;(LOOKUP(E888,WKNrListe,Übersicht!$O$7:$O$46)))+(U888&lt;(LOOKUP(E888,WKNrListe,Übersicht!$P$7:$P$46))),"JG falsch",""))</f>
        <v/>
      </c>
      <c r="Y888" s="255" t="str">
        <f>IF((A888="")*(B888=""),"",IF(ISERROR(MATCH(E888,WKNrListe,0)),"WK falsch",LOOKUP(E888,WKNrListe,Übersicht!$B$7:$B$46)))</f>
        <v/>
      </c>
      <c r="Z888" s="269" t="str">
        <f>IF(((AJ888=0)*(AH888&lt;&gt;"")*(AK888="-"))+((AJ888&lt;&gt;0)*(AH888&lt;&gt;"")*(AK888="-")),IF(AG888="X",Übersicht!$C$70,Übersicht!$C$69),"-")</f>
        <v>-</v>
      </c>
      <c r="AA888" s="252" t="str">
        <f>IF((($A888="")*($B888=""))+((MID($Y888,1,4)&lt;&gt;"Wahl")*(Deckblatt!$C$14='WK-Vorlagen'!$C$82))+(Deckblatt!$C$14&lt;&gt;'WK-Vorlagen'!$C$82),"",IF(ISERROR(MATCH(VALUE(MID(G888,1,2)),Schwierigkeitsstufen!$G$7:$G$19,0)),"Gerät falsch",LOOKUP(VALUE(MID(G888,1,2)),Schwierigkeitsstufen!$G$7:$G$19,Schwierigkeitsstufen!$H$7:$H$19)))</f>
        <v/>
      </c>
      <c r="AB888" s="250" t="str">
        <f>IF((($A888="")*($B888=""))+((MID($Y888,1,4)&lt;&gt;"Wahl")*(Deckblatt!$C$14='WK-Vorlagen'!$C$82))+(Deckblatt!$C$14&lt;&gt;'WK-Vorlagen'!$C$82),"",IF(ISERROR(MATCH(VALUE(MID(H888,1,2)),Schwierigkeitsstufen!$G$7:$G$19,0)),"Gerät falsch",LOOKUP(VALUE(MID(H888,1,2)),Schwierigkeitsstufen!$G$7:$G$19,Schwierigkeitsstufen!$H$7:$H$19)))</f>
        <v/>
      </c>
      <c r="AC888" s="250" t="str">
        <f>IF((($A888="")*($B888=""))+((MID($Y888,1,4)&lt;&gt;"Wahl")*(Deckblatt!$C$14='WK-Vorlagen'!$C$82))+(Deckblatt!$C$14&lt;&gt;'WK-Vorlagen'!$C$82),"",IF(ISERROR(MATCH(VALUE(MID(I888,1,2)),Schwierigkeitsstufen!$G$7:$G$19,0)),"Gerät falsch",LOOKUP(VALUE(MID(I888,1,2)),Schwierigkeitsstufen!$G$7:$G$19,Schwierigkeitsstufen!$H$7:$H$19)))</f>
        <v/>
      </c>
      <c r="AD888" s="251" t="str">
        <f>IF((($A888="")*($B888=""))+((MID($Y888,1,4)&lt;&gt;"Wahl")*(Deckblatt!$C$14='WK-Vorlagen'!$C$82))+(Deckblatt!$C$14&lt;&gt;'WK-Vorlagen'!$C$82),"",IF(ISERROR(MATCH(VALUE(MID(J888,1,2)),Schwierigkeitsstufen!$G$7:$G$19,0)),"Gerät falsch",LOOKUP(VALUE(MID(J888,1,2)),Schwierigkeitsstufen!$G$7:$G$19,Schwierigkeitsstufen!$H$7:$H$19)))</f>
        <v/>
      </c>
      <c r="AE888" s="211"/>
      <c r="AG888" s="221" t="str">
        <f t="shared" si="117"/>
        <v/>
      </c>
      <c r="AH888" s="222" t="str">
        <f t="shared" si="119"/>
        <v/>
      </c>
      <c r="AI888" s="220">
        <f t="shared" si="124"/>
        <v>4</v>
      </c>
      <c r="AJ888" s="222">
        <f t="shared" si="120"/>
        <v>0</v>
      </c>
      <c r="AK888" s="299" t="str">
        <f>IF(ISERROR(LOOKUP(E888,WKNrListe,Übersicht!$R$7:$R$46)),"-",LOOKUP(E888,WKNrListe,Übersicht!$R$7:$R$46))</f>
        <v>-</v>
      </c>
      <c r="AL888" s="299" t="str">
        <f t="shared" si="123"/>
        <v>-</v>
      </c>
      <c r="AM888" s="303"/>
      <c r="AN888" s="174" t="str">
        <f t="shared" si="125"/>
        <v>Leer</v>
      </c>
    </row>
    <row r="889" spans="1:40" s="174" customFormat="1" ht="15" customHeight="1">
      <c r="A889" s="63"/>
      <c r="B889" s="63"/>
      <c r="C889" s="84"/>
      <c r="D889" s="85"/>
      <c r="E889" s="62"/>
      <c r="F889" s="62"/>
      <c r="G889" s="62"/>
      <c r="H889" s="62"/>
      <c r="I889" s="62"/>
      <c r="J889" s="62"/>
      <c r="K889" s="62"/>
      <c r="L889" s="62"/>
      <c r="M889" s="62"/>
      <c r="N889" s="62"/>
      <c r="O889" s="62"/>
      <c r="P889" s="62"/>
      <c r="Q889" s="62"/>
      <c r="R889" s="62"/>
      <c r="S889" s="258"/>
      <c r="T889" s="248" t="str">
        <f t="shared" si="121"/>
        <v/>
      </c>
      <c r="U889" s="249" t="str">
        <f t="shared" si="122"/>
        <v/>
      </c>
      <c r="V889" s="294" t="str">
        <f t="shared" si="118"/>
        <v/>
      </c>
      <c r="W889" s="294" t="str">
        <f>IF(((E889="")+(F889="")),"",IF(VLOOKUP(F889,Mannschaften!$A$1:$B$54,2,FALSE)&lt;&gt;E889,"Reiter Mannschaften füllen",""))</f>
        <v/>
      </c>
      <c r="X889" s="248" t="str">
        <f>IF(ISBLANK(C889),"",IF((U889&gt;(LOOKUP(E889,WKNrListe,Übersicht!$O$7:$O$46)))+(U889&lt;(LOOKUP(E889,WKNrListe,Übersicht!$P$7:$P$46))),"JG falsch",""))</f>
        <v/>
      </c>
      <c r="Y889" s="255" t="str">
        <f>IF((A889="")*(B889=""),"",IF(ISERROR(MATCH(E889,WKNrListe,0)),"WK falsch",LOOKUP(E889,WKNrListe,Übersicht!$B$7:$B$46)))</f>
        <v/>
      </c>
      <c r="Z889" s="269" t="str">
        <f>IF(((AJ889=0)*(AH889&lt;&gt;"")*(AK889="-"))+((AJ889&lt;&gt;0)*(AH889&lt;&gt;"")*(AK889="-")),IF(AG889="X",Übersicht!$C$70,Übersicht!$C$69),"-")</f>
        <v>-</v>
      </c>
      <c r="AA889" s="252" t="str">
        <f>IF((($A889="")*($B889=""))+((MID($Y889,1,4)&lt;&gt;"Wahl")*(Deckblatt!$C$14='WK-Vorlagen'!$C$82))+(Deckblatt!$C$14&lt;&gt;'WK-Vorlagen'!$C$82),"",IF(ISERROR(MATCH(VALUE(MID(G889,1,2)),Schwierigkeitsstufen!$G$7:$G$19,0)),"Gerät falsch",LOOKUP(VALUE(MID(G889,1,2)),Schwierigkeitsstufen!$G$7:$G$19,Schwierigkeitsstufen!$H$7:$H$19)))</f>
        <v/>
      </c>
      <c r="AB889" s="250" t="str">
        <f>IF((($A889="")*($B889=""))+((MID($Y889,1,4)&lt;&gt;"Wahl")*(Deckblatt!$C$14='WK-Vorlagen'!$C$82))+(Deckblatt!$C$14&lt;&gt;'WK-Vorlagen'!$C$82),"",IF(ISERROR(MATCH(VALUE(MID(H889,1,2)),Schwierigkeitsstufen!$G$7:$G$19,0)),"Gerät falsch",LOOKUP(VALUE(MID(H889,1,2)),Schwierigkeitsstufen!$G$7:$G$19,Schwierigkeitsstufen!$H$7:$H$19)))</f>
        <v/>
      </c>
      <c r="AC889" s="250" t="str">
        <f>IF((($A889="")*($B889=""))+((MID($Y889,1,4)&lt;&gt;"Wahl")*(Deckblatt!$C$14='WK-Vorlagen'!$C$82))+(Deckblatt!$C$14&lt;&gt;'WK-Vorlagen'!$C$82),"",IF(ISERROR(MATCH(VALUE(MID(I889,1,2)),Schwierigkeitsstufen!$G$7:$G$19,0)),"Gerät falsch",LOOKUP(VALUE(MID(I889,1,2)),Schwierigkeitsstufen!$G$7:$G$19,Schwierigkeitsstufen!$H$7:$H$19)))</f>
        <v/>
      </c>
      <c r="AD889" s="251" t="str">
        <f>IF((($A889="")*($B889=""))+((MID($Y889,1,4)&lt;&gt;"Wahl")*(Deckblatt!$C$14='WK-Vorlagen'!$C$82))+(Deckblatt!$C$14&lt;&gt;'WK-Vorlagen'!$C$82),"",IF(ISERROR(MATCH(VALUE(MID(J889,1,2)),Schwierigkeitsstufen!$G$7:$G$19,0)),"Gerät falsch",LOOKUP(VALUE(MID(J889,1,2)),Schwierigkeitsstufen!$G$7:$G$19,Schwierigkeitsstufen!$H$7:$H$19)))</f>
        <v/>
      </c>
      <c r="AE889" s="211"/>
      <c r="AG889" s="221" t="str">
        <f t="shared" si="117"/>
        <v/>
      </c>
      <c r="AH889" s="222" t="str">
        <f t="shared" si="119"/>
        <v/>
      </c>
      <c r="AI889" s="220">
        <f t="shared" si="124"/>
        <v>4</v>
      </c>
      <c r="AJ889" s="222">
        <f t="shared" si="120"/>
        <v>0</v>
      </c>
      <c r="AK889" s="299" t="str">
        <f>IF(ISERROR(LOOKUP(E889,WKNrListe,Übersicht!$R$7:$R$46)),"-",LOOKUP(E889,WKNrListe,Übersicht!$R$7:$R$46))</f>
        <v>-</v>
      </c>
      <c r="AL889" s="299" t="str">
        <f t="shared" si="123"/>
        <v>-</v>
      </c>
      <c r="AM889" s="303"/>
      <c r="AN889" s="174" t="str">
        <f t="shared" si="125"/>
        <v>Leer</v>
      </c>
    </row>
    <row r="890" spans="1:40" s="174" customFormat="1" ht="15" customHeight="1">
      <c r="A890" s="63"/>
      <c r="B890" s="63"/>
      <c r="C890" s="84"/>
      <c r="D890" s="85"/>
      <c r="E890" s="62"/>
      <c r="F890" s="62"/>
      <c r="G890" s="62"/>
      <c r="H890" s="62"/>
      <c r="I890" s="62"/>
      <c r="J890" s="62"/>
      <c r="K890" s="62"/>
      <c r="L890" s="62"/>
      <c r="M890" s="62"/>
      <c r="N890" s="62"/>
      <c r="O890" s="62"/>
      <c r="P890" s="62"/>
      <c r="Q890" s="62"/>
      <c r="R890" s="62"/>
      <c r="S890" s="258"/>
      <c r="T890" s="248" t="str">
        <f t="shared" si="121"/>
        <v/>
      </c>
      <c r="U890" s="249" t="str">
        <f t="shared" si="122"/>
        <v/>
      </c>
      <c r="V890" s="294" t="str">
        <f t="shared" si="118"/>
        <v/>
      </c>
      <c r="W890" s="294" t="str">
        <f>IF(((E890="")+(F890="")),"",IF(VLOOKUP(F890,Mannschaften!$A$1:$B$54,2,FALSE)&lt;&gt;E890,"Reiter Mannschaften füllen",""))</f>
        <v/>
      </c>
      <c r="X890" s="248" t="str">
        <f>IF(ISBLANK(C890),"",IF((U890&gt;(LOOKUP(E890,WKNrListe,Übersicht!$O$7:$O$46)))+(U890&lt;(LOOKUP(E890,WKNrListe,Übersicht!$P$7:$P$46))),"JG falsch",""))</f>
        <v/>
      </c>
      <c r="Y890" s="255" t="str">
        <f>IF((A890="")*(B890=""),"",IF(ISERROR(MATCH(E890,WKNrListe,0)),"WK falsch",LOOKUP(E890,WKNrListe,Übersicht!$B$7:$B$46)))</f>
        <v/>
      </c>
      <c r="Z890" s="269" t="str">
        <f>IF(((AJ890=0)*(AH890&lt;&gt;"")*(AK890="-"))+((AJ890&lt;&gt;0)*(AH890&lt;&gt;"")*(AK890="-")),IF(AG890="X",Übersicht!$C$70,Übersicht!$C$69),"-")</f>
        <v>-</v>
      </c>
      <c r="AA890" s="252" t="str">
        <f>IF((($A890="")*($B890=""))+((MID($Y890,1,4)&lt;&gt;"Wahl")*(Deckblatt!$C$14='WK-Vorlagen'!$C$82))+(Deckblatt!$C$14&lt;&gt;'WK-Vorlagen'!$C$82),"",IF(ISERROR(MATCH(VALUE(MID(G890,1,2)),Schwierigkeitsstufen!$G$7:$G$19,0)),"Gerät falsch",LOOKUP(VALUE(MID(G890,1,2)),Schwierigkeitsstufen!$G$7:$G$19,Schwierigkeitsstufen!$H$7:$H$19)))</f>
        <v/>
      </c>
      <c r="AB890" s="250" t="str">
        <f>IF((($A890="")*($B890=""))+((MID($Y890,1,4)&lt;&gt;"Wahl")*(Deckblatt!$C$14='WK-Vorlagen'!$C$82))+(Deckblatt!$C$14&lt;&gt;'WK-Vorlagen'!$C$82),"",IF(ISERROR(MATCH(VALUE(MID(H890,1,2)),Schwierigkeitsstufen!$G$7:$G$19,0)),"Gerät falsch",LOOKUP(VALUE(MID(H890,1,2)),Schwierigkeitsstufen!$G$7:$G$19,Schwierigkeitsstufen!$H$7:$H$19)))</f>
        <v/>
      </c>
      <c r="AC890" s="250" t="str">
        <f>IF((($A890="")*($B890=""))+((MID($Y890,1,4)&lt;&gt;"Wahl")*(Deckblatt!$C$14='WK-Vorlagen'!$C$82))+(Deckblatt!$C$14&lt;&gt;'WK-Vorlagen'!$C$82),"",IF(ISERROR(MATCH(VALUE(MID(I890,1,2)),Schwierigkeitsstufen!$G$7:$G$19,0)),"Gerät falsch",LOOKUP(VALUE(MID(I890,1,2)),Schwierigkeitsstufen!$G$7:$G$19,Schwierigkeitsstufen!$H$7:$H$19)))</f>
        <v/>
      </c>
      <c r="AD890" s="251" t="str">
        <f>IF((($A890="")*($B890=""))+((MID($Y890,1,4)&lt;&gt;"Wahl")*(Deckblatt!$C$14='WK-Vorlagen'!$C$82))+(Deckblatt!$C$14&lt;&gt;'WK-Vorlagen'!$C$82),"",IF(ISERROR(MATCH(VALUE(MID(J890,1,2)),Schwierigkeitsstufen!$G$7:$G$19,0)),"Gerät falsch",LOOKUP(VALUE(MID(J890,1,2)),Schwierigkeitsstufen!$G$7:$G$19,Schwierigkeitsstufen!$H$7:$H$19)))</f>
        <v/>
      </c>
      <c r="AE890" s="211"/>
      <c r="AG890" s="221" t="str">
        <f t="shared" si="117"/>
        <v/>
      </c>
      <c r="AH890" s="222" t="str">
        <f t="shared" si="119"/>
        <v/>
      </c>
      <c r="AI890" s="220">
        <f t="shared" si="124"/>
        <v>4</v>
      </c>
      <c r="AJ890" s="222">
        <f t="shared" si="120"/>
        <v>0</v>
      </c>
      <c r="AK890" s="299" t="str">
        <f>IF(ISERROR(LOOKUP(E890,WKNrListe,Übersicht!$R$7:$R$46)),"-",LOOKUP(E890,WKNrListe,Übersicht!$R$7:$R$46))</f>
        <v>-</v>
      </c>
      <c r="AL890" s="299" t="str">
        <f t="shared" si="123"/>
        <v>-</v>
      </c>
      <c r="AM890" s="303"/>
      <c r="AN890" s="174" t="str">
        <f t="shared" si="125"/>
        <v>Leer</v>
      </c>
    </row>
    <row r="891" spans="1:40" s="174" customFormat="1" ht="15" customHeight="1">
      <c r="A891" s="63"/>
      <c r="B891" s="63"/>
      <c r="C891" s="84"/>
      <c r="D891" s="85"/>
      <c r="E891" s="62"/>
      <c r="F891" s="62"/>
      <c r="G891" s="62"/>
      <c r="H891" s="62"/>
      <c r="I891" s="62"/>
      <c r="J891" s="62"/>
      <c r="K891" s="62"/>
      <c r="L891" s="62"/>
      <c r="M891" s="62"/>
      <c r="N891" s="62"/>
      <c r="O891" s="62"/>
      <c r="P891" s="62"/>
      <c r="Q891" s="62"/>
      <c r="R891" s="62"/>
      <c r="S891" s="258"/>
      <c r="T891" s="248" t="str">
        <f t="shared" si="121"/>
        <v/>
      </c>
      <c r="U891" s="249" t="str">
        <f t="shared" si="122"/>
        <v/>
      </c>
      <c r="V891" s="294" t="str">
        <f t="shared" si="118"/>
        <v/>
      </c>
      <c r="W891" s="294" t="str">
        <f>IF(((E891="")+(F891="")),"",IF(VLOOKUP(F891,Mannschaften!$A$1:$B$54,2,FALSE)&lt;&gt;E891,"Reiter Mannschaften füllen",""))</f>
        <v/>
      </c>
      <c r="X891" s="248" t="str">
        <f>IF(ISBLANK(C891),"",IF((U891&gt;(LOOKUP(E891,WKNrListe,Übersicht!$O$7:$O$46)))+(U891&lt;(LOOKUP(E891,WKNrListe,Übersicht!$P$7:$P$46))),"JG falsch",""))</f>
        <v/>
      </c>
      <c r="Y891" s="255" t="str">
        <f>IF((A891="")*(B891=""),"",IF(ISERROR(MATCH(E891,WKNrListe,0)),"WK falsch",LOOKUP(E891,WKNrListe,Übersicht!$B$7:$B$46)))</f>
        <v/>
      </c>
      <c r="Z891" s="269" t="str">
        <f>IF(((AJ891=0)*(AH891&lt;&gt;"")*(AK891="-"))+((AJ891&lt;&gt;0)*(AH891&lt;&gt;"")*(AK891="-")),IF(AG891="X",Übersicht!$C$70,Übersicht!$C$69),"-")</f>
        <v>-</v>
      </c>
      <c r="AA891" s="252" t="str">
        <f>IF((($A891="")*($B891=""))+((MID($Y891,1,4)&lt;&gt;"Wahl")*(Deckblatt!$C$14='WK-Vorlagen'!$C$82))+(Deckblatt!$C$14&lt;&gt;'WK-Vorlagen'!$C$82),"",IF(ISERROR(MATCH(VALUE(MID(G891,1,2)),Schwierigkeitsstufen!$G$7:$G$19,0)),"Gerät falsch",LOOKUP(VALUE(MID(G891,1,2)),Schwierigkeitsstufen!$G$7:$G$19,Schwierigkeitsstufen!$H$7:$H$19)))</f>
        <v/>
      </c>
      <c r="AB891" s="250" t="str">
        <f>IF((($A891="")*($B891=""))+((MID($Y891,1,4)&lt;&gt;"Wahl")*(Deckblatt!$C$14='WK-Vorlagen'!$C$82))+(Deckblatt!$C$14&lt;&gt;'WK-Vorlagen'!$C$82),"",IF(ISERROR(MATCH(VALUE(MID(H891,1,2)),Schwierigkeitsstufen!$G$7:$G$19,0)),"Gerät falsch",LOOKUP(VALUE(MID(H891,1,2)),Schwierigkeitsstufen!$G$7:$G$19,Schwierigkeitsstufen!$H$7:$H$19)))</f>
        <v/>
      </c>
      <c r="AC891" s="250" t="str">
        <f>IF((($A891="")*($B891=""))+((MID($Y891,1,4)&lt;&gt;"Wahl")*(Deckblatt!$C$14='WK-Vorlagen'!$C$82))+(Deckblatt!$C$14&lt;&gt;'WK-Vorlagen'!$C$82),"",IF(ISERROR(MATCH(VALUE(MID(I891,1,2)),Schwierigkeitsstufen!$G$7:$G$19,0)),"Gerät falsch",LOOKUP(VALUE(MID(I891,1,2)),Schwierigkeitsstufen!$G$7:$G$19,Schwierigkeitsstufen!$H$7:$H$19)))</f>
        <v/>
      </c>
      <c r="AD891" s="251" t="str">
        <f>IF((($A891="")*($B891=""))+((MID($Y891,1,4)&lt;&gt;"Wahl")*(Deckblatt!$C$14='WK-Vorlagen'!$C$82))+(Deckblatt!$C$14&lt;&gt;'WK-Vorlagen'!$C$82),"",IF(ISERROR(MATCH(VALUE(MID(J891,1,2)),Schwierigkeitsstufen!$G$7:$G$19,0)),"Gerät falsch",LOOKUP(VALUE(MID(J891,1,2)),Schwierigkeitsstufen!$G$7:$G$19,Schwierigkeitsstufen!$H$7:$H$19)))</f>
        <v/>
      </c>
      <c r="AE891" s="211"/>
      <c r="AG891" s="221" t="str">
        <f t="shared" si="117"/>
        <v/>
      </c>
      <c r="AH891" s="222" t="str">
        <f t="shared" si="119"/>
        <v/>
      </c>
      <c r="AI891" s="220">
        <f t="shared" si="124"/>
        <v>4</v>
      </c>
      <c r="AJ891" s="222">
        <f t="shared" si="120"/>
        <v>0</v>
      </c>
      <c r="AK891" s="299" t="str">
        <f>IF(ISERROR(LOOKUP(E891,WKNrListe,Übersicht!$R$7:$R$46)),"-",LOOKUP(E891,WKNrListe,Übersicht!$R$7:$R$46))</f>
        <v>-</v>
      </c>
      <c r="AL891" s="299" t="str">
        <f t="shared" si="123"/>
        <v>-</v>
      </c>
      <c r="AM891" s="303"/>
      <c r="AN891" s="174" t="str">
        <f t="shared" si="125"/>
        <v>Leer</v>
      </c>
    </row>
    <row r="892" spans="1:40" s="174" customFormat="1" ht="15" customHeight="1">
      <c r="A892" s="63"/>
      <c r="B892" s="63"/>
      <c r="C892" s="84"/>
      <c r="D892" s="85"/>
      <c r="E892" s="62"/>
      <c r="F892" s="62"/>
      <c r="G892" s="62"/>
      <c r="H892" s="62"/>
      <c r="I892" s="62"/>
      <c r="J892" s="62"/>
      <c r="K892" s="62"/>
      <c r="L892" s="62"/>
      <c r="M892" s="62"/>
      <c r="N892" s="62"/>
      <c r="O892" s="62"/>
      <c r="P892" s="62"/>
      <c r="Q892" s="62"/>
      <c r="R892" s="62"/>
      <c r="S892" s="258"/>
      <c r="T892" s="248" t="str">
        <f t="shared" si="121"/>
        <v/>
      </c>
      <c r="U892" s="249" t="str">
        <f t="shared" si="122"/>
        <v/>
      </c>
      <c r="V892" s="294" t="str">
        <f t="shared" si="118"/>
        <v/>
      </c>
      <c r="W892" s="294" t="str">
        <f>IF(((E892="")+(F892="")),"",IF(VLOOKUP(F892,Mannschaften!$A$1:$B$54,2,FALSE)&lt;&gt;E892,"Reiter Mannschaften füllen",""))</f>
        <v/>
      </c>
      <c r="X892" s="248" t="str">
        <f>IF(ISBLANK(C892),"",IF((U892&gt;(LOOKUP(E892,WKNrListe,Übersicht!$O$7:$O$46)))+(U892&lt;(LOOKUP(E892,WKNrListe,Übersicht!$P$7:$P$46))),"JG falsch",""))</f>
        <v/>
      </c>
      <c r="Y892" s="255" t="str">
        <f>IF((A892="")*(B892=""),"",IF(ISERROR(MATCH(E892,WKNrListe,0)),"WK falsch",LOOKUP(E892,WKNrListe,Übersicht!$B$7:$B$46)))</f>
        <v/>
      </c>
      <c r="Z892" s="269" t="str">
        <f>IF(((AJ892=0)*(AH892&lt;&gt;"")*(AK892="-"))+((AJ892&lt;&gt;0)*(AH892&lt;&gt;"")*(AK892="-")),IF(AG892="X",Übersicht!$C$70,Übersicht!$C$69),"-")</f>
        <v>-</v>
      </c>
      <c r="AA892" s="252" t="str">
        <f>IF((($A892="")*($B892=""))+((MID($Y892,1,4)&lt;&gt;"Wahl")*(Deckblatt!$C$14='WK-Vorlagen'!$C$82))+(Deckblatt!$C$14&lt;&gt;'WK-Vorlagen'!$C$82),"",IF(ISERROR(MATCH(VALUE(MID(G892,1,2)),Schwierigkeitsstufen!$G$7:$G$19,0)),"Gerät falsch",LOOKUP(VALUE(MID(G892,1,2)),Schwierigkeitsstufen!$G$7:$G$19,Schwierigkeitsstufen!$H$7:$H$19)))</f>
        <v/>
      </c>
      <c r="AB892" s="250" t="str">
        <f>IF((($A892="")*($B892=""))+((MID($Y892,1,4)&lt;&gt;"Wahl")*(Deckblatt!$C$14='WK-Vorlagen'!$C$82))+(Deckblatt!$C$14&lt;&gt;'WK-Vorlagen'!$C$82),"",IF(ISERROR(MATCH(VALUE(MID(H892,1,2)),Schwierigkeitsstufen!$G$7:$G$19,0)),"Gerät falsch",LOOKUP(VALUE(MID(H892,1,2)),Schwierigkeitsstufen!$G$7:$G$19,Schwierigkeitsstufen!$H$7:$H$19)))</f>
        <v/>
      </c>
      <c r="AC892" s="250" t="str">
        <f>IF((($A892="")*($B892=""))+((MID($Y892,1,4)&lt;&gt;"Wahl")*(Deckblatt!$C$14='WK-Vorlagen'!$C$82))+(Deckblatt!$C$14&lt;&gt;'WK-Vorlagen'!$C$82),"",IF(ISERROR(MATCH(VALUE(MID(I892,1,2)),Schwierigkeitsstufen!$G$7:$G$19,0)),"Gerät falsch",LOOKUP(VALUE(MID(I892,1,2)),Schwierigkeitsstufen!$G$7:$G$19,Schwierigkeitsstufen!$H$7:$H$19)))</f>
        <v/>
      </c>
      <c r="AD892" s="251" t="str">
        <f>IF((($A892="")*($B892=""))+((MID($Y892,1,4)&lt;&gt;"Wahl")*(Deckblatt!$C$14='WK-Vorlagen'!$C$82))+(Deckblatt!$C$14&lt;&gt;'WK-Vorlagen'!$C$82),"",IF(ISERROR(MATCH(VALUE(MID(J892,1,2)),Schwierigkeitsstufen!$G$7:$G$19,0)),"Gerät falsch",LOOKUP(VALUE(MID(J892,1,2)),Schwierigkeitsstufen!$G$7:$G$19,Schwierigkeitsstufen!$H$7:$H$19)))</f>
        <v/>
      </c>
      <c r="AE892" s="211"/>
      <c r="AG892" s="221" t="str">
        <f t="shared" si="117"/>
        <v/>
      </c>
      <c r="AH892" s="222" t="str">
        <f t="shared" si="119"/>
        <v/>
      </c>
      <c r="AI892" s="220">
        <f t="shared" si="124"/>
        <v>4</v>
      </c>
      <c r="AJ892" s="222">
        <f t="shared" si="120"/>
        <v>0</v>
      </c>
      <c r="AK892" s="299" t="str">
        <f>IF(ISERROR(LOOKUP(E892,WKNrListe,Übersicht!$R$7:$R$46)),"-",LOOKUP(E892,WKNrListe,Übersicht!$R$7:$R$46))</f>
        <v>-</v>
      </c>
      <c r="AL892" s="299" t="str">
        <f t="shared" si="123"/>
        <v>-</v>
      </c>
      <c r="AM892" s="303"/>
      <c r="AN892" s="174" t="str">
        <f t="shared" si="125"/>
        <v>Leer</v>
      </c>
    </row>
    <row r="893" spans="1:40" s="174" customFormat="1" ht="15" customHeight="1">
      <c r="A893" s="63"/>
      <c r="B893" s="63"/>
      <c r="C893" s="84"/>
      <c r="D893" s="85"/>
      <c r="E893" s="62"/>
      <c r="F893" s="62"/>
      <c r="G893" s="62"/>
      <c r="H893" s="62"/>
      <c r="I893" s="62"/>
      <c r="J893" s="62"/>
      <c r="K893" s="62"/>
      <c r="L893" s="62"/>
      <c r="M893" s="62"/>
      <c r="N893" s="62"/>
      <c r="O893" s="62"/>
      <c r="P893" s="62"/>
      <c r="Q893" s="62"/>
      <c r="R893" s="62"/>
      <c r="S893" s="258"/>
      <c r="T893" s="248" t="str">
        <f t="shared" si="121"/>
        <v/>
      </c>
      <c r="U893" s="249" t="str">
        <f t="shared" si="122"/>
        <v/>
      </c>
      <c r="V893" s="294" t="str">
        <f t="shared" si="118"/>
        <v/>
      </c>
      <c r="W893" s="294" t="str">
        <f>IF(((E893="")+(F893="")),"",IF(VLOOKUP(F893,Mannschaften!$A$1:$B$54,2,FALSE)&lt;&gt;E893,"Reiter Mannschaften füllen",""))</f>
        <v/>
      </c>
      <c r="X893" s="248" t="str">
        <f>IF(ISBLANK(C893),"",IF((U893&gt;(LOOKUP(E893,WKNrListe,Übersicht!$O$7:$O$46)))+(U893&lt;(LOOKUP(E893,WKNrListe,Übersicht!$P$7:$P$46))),"JG falsch",""))</f>
        <v/>
      </c>
      <c r="Y893" s="255" t="str">
        <f>IF((A893="")*(B893=""),"",IF(ISERROR(MATCH(E893,WKNrListe,0)),"WK falsch",LOOKUP(E893,WKNrListe,Übersicht!$B$7:$B$46)))</f>
        <v/>
      </c>
      <c r="Z893" s="269" t="str">
        <f>IF(((AJ893=0)*(AH893&lt;&gt;"")*(AK893="-"))+((AJ893&lt;&gt;0)*(AH893&lt;&gt;"")*(AK893="-")),IF(AG893="X",Übersicht!$C$70,Übersicht!$C$69),"-")</f>
        <v>-</v>
      </c>
      <c r="AA893" s="252" t="str">
        <f>IF((($A893="")*($B893=""))+((MID($Y893,1,4)&lt;&gt;"Wahl")*(Deckblatt!$C$14='WK-Vorlagen'!$C$82))+(Deckblatt!$C$14&lt;&gt;'WK-Vorlagen'!$C$82),"",IF(ISERROR(MATCH(VALUE(MID(G893,1,2)),Schwierigkeitsstufen!$G$7:$G$19,0)),"Gerät falsch",LOOKUP(VALUE(MID(G893,1,2)),Schwierigkeitsstufen!$G$7:$G$19,Schwierigkeitsstufen!$H$7:$H$19)))</f>
        <v/>
      </c>
      <c r="AB893" s="250" t="str">
        <f>IF((($A893="")*($B893=""))+((MID($Y893,1,4)&lt;&gt;"Wahl")*(Deckblatt!$C$14='WK-Vorlagen'!$C$82))+(Deckblatt!$C$14&lt;&gt;'WK-Vorlagen'!$C$82),"",IF(ISERROR(MATCH(VALUE(MID(H893,1,2)),Schwierigkeitsstufen!$G$7:$G$19,0)),"Gerät falsch",LOOKUP(VALUE(MID(H893,1,2)),Schwierigkeitsstufen!$G$7:$G$19,Schwierigkeitsstufen!$H$7:$H$19)))</f>
        <v/>
      </c>
      <c r="AC893" s="250" t="str">
        <f>IF((($A893="")*($B893=""))+((MID($Y893,1,4)&lt;&gt;"Wahl")*(Deckblatt!$C$14='WK-Vorlagen'!$C$82))+(Deckblatt!$C$14&lt;&gt;'WK-Vorlagen'!$C$82),"",IF(ISERROR(MATCH(VALUE(MID(I893,1,2)),Schwierigkeitsstufen!$G$7:$G$19,0)),"Gerät falsch",LOOKUP(VALUE(MID(I893,1,2)),Schwierigkeitsstufen!$G$7:$G$19,Schwierigkeitsstufen!$H$7:$H$19)))</f>
        <v/>
      </c>
      <c r="AD893" s="251" t="str">
        <f>IF((($A893="")*($B893=""))+((MID($Y893,1,4)&lt;&gt;"Wahl")*(Deckblatt!$C$14='WK-Vorlagen'!$C$82))+(Deckblatt!$C$14&lt;&gt;'WK-Vorlagen'!$C$82),"",IF(ISERROR(MATCH(VALUE(MID(J893,1,2)),Schwierigkeitsstufen!$G$7:$G$19,0)),"Gerät falsch",LOOKUP(VALUE(MID(J893,1,2)),Schwierigkeitsstufen!$G$7:$G$19,Schwierigkeitsstufen!$H$7:$H$19)))</f>
        <v/>
      </c>
      <c r="AE893" s="211"/>
      <c r="AG893" s="221" t="str">
        <f t="shared" si="117"/>
        <v/>
      </c>
      <c r="AH893" s="222" t="str">
        <f t="shared" si="119"/>
        <v/>
      </c>
      <c r="AI893" s="220">
        <f t="shared" si="124"/>
        <v>4</v>
      </c>
      <c r="AJ893" s="222">
        <f t="shared" si="120"/>
        <v>0</v>
      </c>
      <c r="AK893" s="299" t="str">
        <f>IF(ISERROR(LOOKUP(E893,WKNrListe,Übersicht!$R$7:$R$46)),"-",LOOKUP(E893,WKNrListe,Übersicht!$R$7:$R$46))</f>
        <v>-</v>
      </c>
      <c r="AL893" s="299" t="str">
        <f t="shared" si="123"/>
        <v>-</v>
      </c>
      <c r="AM893" s="303"/>
      <c r="AN893" s="174" t="str">
        <f t="shared" si="125"/>
        <v>Leer</v>
      </c>
    </row>
    <row r="894" spans="1:40" s="174" customFormat="1" ht="15" customHeight="1">
      <c r="A894" s="63"/>
      <c r="B894" s="63"/>
      <c r="C894" s="84"/>
      <c r="D894" s="85"/>
      <c r="E894" s="62"/>
      <c r="F894" s="62"/>
      <c r="G894" s="62"/>
      <c r="H894" s="62"/>
      <c r="I894" s="62"/>
      <c r="J894" s="62"/>
      <c r="K894" s="62"/>
      <c r="L894" s="62"/>
      <c r="M894" s="62"/>
      <c r="N894" s="62"/>
      <c r="O894" s="62"/>
      <c r="P894" s="62"/>
      <c r="Q894" s="62"/>
      <c r="R894" s="62"/>
      <c r="S894" s="258"/>
      <c r="T894" s="248" t="str">
        <f t="shared" si="121"/>
        <v/>
      </c>
      <c r="U894" s="249" t="str">
        <f t="shared" si="122"/>
        <v/>
      </c>
      <c r="V894" s="294" t="str">
        <f t="shared" si="118"/>
        <v/>
      </c>
      <c r="W894" s="294" t="str">
        <f>IF(((E894="")+(F894="")),"",IF(VLOOKUP(F894,Mannschaften!$A$1:$B$54,2,FALSE)&lt;&gt;E894,"Reiter Mannschaften füllen",""))</f>
        <v/>
      </c>
      <c r="X894" s="248" t="str">
        <f>IF(ISBLANK(C894),"",IF((U894&gt;(LOOKUP(E894,WKNrListe,Übersicht!$O$7:$O$46)))+(U894&lt;(LOOKUP(E894,WKNrListe,Übersicht!$P$7:$P$46))),"JG falsch",""))</f>
        <v/>
      </c>
      <c r="Y894" s="255" t="str">
        <f>IF((A894="")*(B894=""),"",IF(ISERROR(MATCH(E894,WKNrListe,0)),"WK falsch",LOOKUP(E894,WKNrListe,Übersicht!$B$7:$B$46)))</f>
        <v/>
      </c>
      <c r="Z894" s="269" t="str">
        <f>IF(((AJ894=0)*(AH894&lt;&gt;"")*(AK894="-"))+((AJ894&lt;&gt;0)*(AH894&lt;&gt;"")*(AK894="-")),IF(AG894="X",Übersicht!$C$70,Übersicht!$C$69),"-")</f>
        <v>-</v>
      </c>
      <c r="AA894" s="252" t="str">
        <f>IF((($A894="")*($B894=""))+((MID($Y894,1,4)&lt;&gt;"Wahl")*(Deckblatt!$C$14='WK-Vorlagen'!$C$82))+(Deckblatt!$C$14&lt;&gt;'WK-Vorlagen'!$C$82),"",IF(ISERROR(MATCH(VALUE(MID(G894,1,2)),Schwierigkeitsstufen!$G$7:$G$19,0)),"Gerät falsch",LOOKUP(VALUE(MID(G894,1,2)),Schwierigkeitsstufen!$G$7:$G$19,Schwierigkeitsstufen!$H$7:$H$19)))</f>
        <v/>
      </c>
      <c r="AB894" s="250" t="str">
        <f>IF((($A894="")*($B894=""))+((MID($Y894,1,4)&lt;&gt;"Wahl")*(Deckblatt!$C$14='WK-Vorlagen'!$C$82))+(Deckblatt!$C$14&lt;&gt;'WK-Vorlagen'!$C$82),"",IF(ISERROR(MATCH(VALUE(MID(H894,1,2)),Schwierigkeitsstufen!$G$7:$G$19,0)),"Gerät falsch",LOOKUP(VALUE(MID(H894,1,2)),Schwierigkeitsstufen!$G$7:$G$19,Schwierigkeitsstufen!$H$7:$H$19)))</f>
        <v/>
      </c>
      <c r="AC894" s="250" t="str">
        <f>IF((($A894="")*($B894=""))+((MID($Y894,1,4)&lt;&gt;"Wahl")*(Deckblatt!$C$14='WK-Vorlagen'!$C$82))+(Deckblatt!$C$14&lt;&gt;'WK-Vorlagen'!$C$82),"",IF(ISERROR(MATCH(VALUE(MID(I894,1,2)),Schwierigkeitsstufen!$G$7:$G$19,0)),"Gerät falsch",LOOKUP(VALUE(MID(I894,1,2)),Schwierigkeitsstufen!$G$7:$G$19,Schwierigkeitsstufen!$H$7:$H$19)))</f>
        <v/>
      </c>
      <c r="AD894" s="251" t="str">
        <f>IF((($A894="")*($B894=""))+((MID($Y894,1,4)&lt;&gt;"Wahl")*(Deckblatt!$C$14='WK-Vorlagen'!$C$82))+(Deckblatt!$C$14&lt;&gt;'WK-Vorlagen'!$C$82),"",IF(ISERROR(MATCH(VALUE(MID(J894,1,2)),Schwierigkeitsstufen!$G$7:$G$19,0)),"Gerät falsch",LOOKUP(VALUE(MID(J894,1,2)),Schwierigkeitsstufen!$G$7:$G$19,Schwierigkeitsstufen!$H$7:$H$19)))</f>
        <v/>
      </c>
      <c r="AE894" s="211"/>
      <c r="AG894" s="221" t="str">
        <f t="shared" si="117"/>
        <v/>
      </c>
      <c r="AH894" s="222" t="str">
        <f t="shared" si="119"/>
        <v/>
      </c>
      <c r="AI894" s="220">
        <f t="shared" si="124"/>
        <v>4</v>
      </c>
      <c r="AJ894" s="222">
        <f t="shared" si="120"/>
        <v>0</v>
      </c>
      <c r="AK894" s="299" t="str">
        <f>IF(ISERROR(LOOKUP(E894,WKNrListe,Übersicht!$R$7:$R$46)),"-",LOOKUP(E894,WKNrListe,Übersicht!$R$7:$R$46))</f>
        <v>-</v>
      </c>
      <c r="AL894" s="299" t="str">
        <f t="shared" si="123"/>
        <v>-</v>
      </c>
      <c r="AM894" s="303"/>
      <c r="AN894" s="174" t="str">
        <f t="shared" si="125"/>
        <v>Leer</v>
      </c>
    </row>
    <row r="895" spans="1:40" s="174" customFormat="1" ht="15" customHeight="1">
      <c r="A895" s="63"/>
      <c r="B895" s="63"/>
      <c r="C895" s="84"/>
      <c r="D895" s="85"/>
      <c r="E895" s="62"/>
      <c r="F895" s="62"/>
      <c r="G895" s="62"/>
      <c r="H895" s="62"/>
      <c r="I895" s="62"/>
      <c r="J895" s="62"/>
      <c r="K895" s="62"/>
      <c r="L895" s="62"/>
      <c r="M895" s="62"/>
      <c r="N895" s="62"/>
      <c r="O895" s="62"/>
      <c r="P895" s="62"/>
      <c r="Q895" s="62"/>
      <c r="R895" s="62"/>
      <c r="S895" s="258"/>
      <c r="T895" s="248" t="str">
        <f t="shared" si="121"/>
        <v/>
      </c>
      <c r="U895" s="249" t="str">
        <f t="shared" si="122"/>
        <v/>
      </c>
      <c r="V895" s="294" t="str">
        <f t="shared" si="118"/>
        <v/>
      </c>
      <c r="W895" s="294" t="str">
        <f>IF(((E895="")+(F895="")),"",IF(VLOOKUP(F895,Mannschaften!$A$1:$B$54,2,FALSE)&lt;&gt;E895,"Reiter Mannschaften füllen",""))</f>
        <v/>
      </c>
      <c r="X895" s="248" t="str">
        <f>IF(ISBLANK(C895),"",IF((U895&gt;(LOOKUP(E895,WKNrListe,Übersicht!$O$7:$O$46)))+(U895&lt;(LOOKUP(E895,WKNrListe,Übersicht!$P$7:$P$46))),"JG falsch",""))</f>
        <v/>
      </c>
      <c r="Y895" s="255" t="str">
        <f>IF((A895="")*(B895=""),"",IF(ISERROR(MATCH(E895,WKNrListe,0)),"WK falsch",LOOKUP(E895,WKNrListe,Übersicht!$B$7:$B$46)))</f>
        <v/>
      </c>
      <c r="Z895" s="269" t="str">
        <f>IF(((AJ895=0)*(AH895&lt;&gt;"")*(AK895="-"))+((AJ895&lt;&gt;0)*(AH895&lt;&gt;"")*(AK895="-")),IF(AG895="X",Übersicht!$C$70,Übersicht!$C$69),"-")</f>
        <v>-</v>
      </c>
      <c r="AA895" s="252" t="str">
        <f>IF((($A895="")*($B895=""))+((MID($Y895,1,4)&lt;&gt;"Wahl")*(Deckblatt!$C$14='WK-Vorlagen'!$C$82))+(Deckblatt!$C$14&lt;&gt;'WK-Vorlagen'!$C$82),"",IF(ISERROR(MATCH(VALUE(MID(G895,1,2)),Schwierigkeitsstufen!$G$7:$G$19,0)),"Gerät falsch",LOOKUP(VALUE(MID(G895,1,2)),Schwierigkeitsstufen!$G$7:$G$19,Schwierigkeitsstufen!$H$7:$H$19)))</f>
        <v/>
      </c>
      <c r="AB895" s="250" t="str">
        <f>IF((($A895="")*($B895=""))+((MID($Y895,1,4)&lt;&gt;"Wahl")*(Deckblatt!$C$14='WK-Vorlagen'!$C$82))+(Deckblatt!$C$14&lt;&gt;'WK-Vorlagen'!$C$82),"",IF(ISERROR(MATCH(VALUE(MID(H895,1,2)),Schwierigkeitsstufen!$G$7:$G$19,0)),"Gerät falsch",LOOKUP(VALUE(MID(H895,1,2)),Schwierigkeitsstufen!$G$7:$G$19,Schwierigkeitsstufen!$H$7:$H$19)))</f>
        <v/>
      </c>
      <c r="AC895" s="250" t="str">
        <f>IF((($A895="")*($B895=""))+((MID($Y895,1,4)&lt;&gt;"Wahl")*(Deckblatt!$C$14='WK-Vorlagen'!$C$82))+(Deckblatt!$C$14&lt;&gt;'WK-Vorlagen'!$C$82),"",IF(ISERROR(MATCH(VALUE(MID(I895,1,2)),Schwierigkeitsstufen!$G$7:$G$19,0)),"Gerät falsch",LOOKUP(VALUE(MID(I895,1,2)),Schwierigkeitsstufen!$G$7:$G$19,Schwierigkeitsstufen!$H$7:$H$19)))</f>
        <v/>
      </c>
      <c r="AD895" s="251" t="str">
        <f>IF((($A895="")*($B895=""))+((MID($Y895,1,4)&lt;&gt;"Wahl")*(Deckblatt!$C$14='WK-Vorlagen'!$C$82))+(Deckblatt!$C$14&lt;&gt;'WK-Vorlagen'!$C$82),"",IF(ISERROR(MATCH(VALUE(MID(J895,1,2)),Schwierigkeitsstufen!$G$7:$G$19,0)),"Gerät falsch",LOOKUP(VALUE(MID(J895,1,2)),Schwierigkeitsstufen!$G$7:$G$19,Schwierigkeitsstufen!$H$7:$H$19)))</f>
        <v/>
      </c>
      <c r="AE895" s="211"/>
      <c r="AG895" s="221" t="str">
        <f t="shared" si="117"/>
        <v/>
      </c>
      <c r="AH895" s="222" t="str">
        <f t="shared" si="119"/>
        <v/>
      </c>
      <c r="AI895" s="220">
        <f t="shared" si="124"/>
        <v>4</v>
      </c>
      <c r="AJ895" s="222">
        <f t="shared" si="120"/>
        <v>0</v>
      </c>
      <c r="AK895" s="299" t="str">
        <f>IF(ISERROR(LOOKUP(E895,WKNrListe,Übersicht!$R$7:$R$46)),"-",LOOKUP(E895,WKNrListe,Übersicht!$R$7:$R$46))</f>
        <v>-</v>
      </c>
      <c r="AL895" s="299" t="str">
        <f t="shared" si="123"/>
        <v>-</v>
      </c>
      <c r="AM895" s="303"/>
      <c r="AN895" s="174" t="str">
        <f t="shared" si="125"/>
        <v>Leer</v>
      </c>
    </row>
    <row r="896" spans="1:40" s="174" customFormat="1" ht="15" customHeight="1">
      <c r="A896" s="63"/>
      <c r="B896" s="63"/>
      <c r="C896" s="84"/>
      <c r="D896" s="85"/>
      <c r="E896" s="62"/>
      <c r="F896" s="62"/>
      <c r="G896" s="62"/>
      <c r="H896" s="62"/>
      <c r="I896" s="62"/>
      <c r="J896" s="62"/>
      <c r="K896" s="62"/>
      <c r="L896" s="62"/>
      <c r="M896" s="62"/>
      <c r="N896" s="62"/>
      <c r="O896" s="62"/>
      <c r="P896" s="62"/>
      <c r="Q896" s="62"/>
      <c r="R896" s="62"/>
      <c r="S896" s="258"/>
      <c r="T896" s="248" t="str">
        <f t="shared" si="121"/>
        <v/>
      </c>
      <c r="U896" s="249" t="str">
        <f t="shared" si="122"/>
        <v/>
      </c>
      <c r="V896" s="294" t="str">
        <f t="shared" si="118"/>
        <v/>
      </c>
      <c r="W896" s="294" t="str">
        <f>IF(((E896="")+(F896="")),"",IF(VLOOKUP(F896,Mannschaften!$A$1:$B$54,2,FALSE)&lt;&gt;E896,"Reiter Mannschaften füllen",""))</f>
        <v/>
      </c>
      <c r="X896" s="248" t="str">
        <f>IF(ISBLANK(C896),"",IF((U896&gt;(LOOKUP(E896,WKNrListe,Übersicht!$O$7:$O$46)))+(U896&lt;(LOOKUP(E896,WKNrListe,Übersicht!$P$7:$P$46))),"JG falsch",""))</f>
        <v/>
      </c>
      <c r="Y896" s="255" t="str">
        <f>IF((A896="")*(B896=""),"",IF(ISERROR(MATCH(E896,WKNrListe,0)),"WK falsch",LOOKUP(E896,WKNrListe,Übersicht!$B$7:$B$46)))</f>
        <v/>
      </c>
      <c r="Z896" s="269" t="str">
        <f>IF(((AJ896=0)*(AH896&lt;&gt;"")*(AK896="-"))+((AJ896&lt;&gt;0)*(AH896&lt;&gt;"")*(AK896="-")),IF(AG896="X",Übersicht!$C$70,Übersicht!$C$69),"-")</f>
        <v>-</v>
      </c>
      <c r="AA896" s="252" t="str">
        <f>IF((($A896="")*($B896=""))+((MID($Y896,1,4)&lt;&gt;"Wahl")*(Deckblatt!$C$14='WK-Vorlagen'!$C$82))+(Deckblatt!$C$14&lt;&gt;'WK-Vorlagen'!$C$82),"",IF(ISERROR(MATCH(VALUE(MID(G896,1,2)),Schwierigkeitsstufen!$G$7:$G$19,0)),"Gerät falsch",LOOKUP(VALUE(MID(G896,1,2)),Schwierigkeitsstufen!$G$7:$G$19,Schwierigkeitsstufen!$H$7:$H$19)))</f>
        <v/>
      </c>
      <c r="AB896" s="250" t="str">
        <f>IF((($A896="")*($B896=""))+((MID($Y896,1,4)&lt;&gt;"Wahl")*(Deckblatt!$C$14='WK-Vorlagen'!$C$82))+(Deckblatt!$C$14&lt;&gt;'WK-Vorlagen'!$C$82),"",IF(ISERROR(MATCH(VALUE(MID(H896,1,2)),Schwierigkeitsstufen!$G$7:$G$19,0)),"Gerät falsch",LOOKUP(VALUE(MID(H896,1,2)),Schwierigkeitsstufen!$G$7:$G$19,Schwierigkeitsstufen!$H$7:$H$19)))</f>
        <v/>
      </c>
      <c r="AC896" s="250" t="str">
        <f>IF((($A896="")*($B896=""))+((MID($Y896,1,4)&lt;&gt;"Wahl")*(Deckblatt!$C$14='WK-Vorlagen'!$C$82))+(Deckblatt!$C$14&lt;&gt;'WK-Vorlagen'!$C$82),"",IF(ISERROR(MATCH(VALUE(MID(I896,1,2)),Schwierigkeitsstufen!$G$7:$G$19,0)),"Gerät falsch",LOOKUP(VALUE(MID(I896,1,2)),Schwierigkeitsstufen!$G$7:$G$19,Schwierigkeitsstufen!$H$7:$H$19)))</f>
        <v/>
      </c>
      <c r="AD896" s="251" t="str">
        <f>IF((($A896="")*($B896=""))+((MID($Y896,1,4)&lt;&gt;"Wahl")*(Deckblatt!$C$14='WK-Vorlagen'!$C$82))+(Deckblatt!$C$14&lt;&gt;'WK-Vorlagen'!$C$82),"",IF(ISERROR(MATCH(VALUE(MID(J896,1,2)),Schwierigkeitsstufen!$G$7:$G$19,0)),"Gerät falsch",LOOKUP(VALUE(MID(J896,1,2)),Schwierigkeitsstufen!$G$7:$G$19,Schwierigkeitsstufen!$H$7:$H$19)))</f>
        <v/>
      </c>
      <c r="AE896" s="211"/>
      <c r="AG896" s="221" t="str">
        <f t="shared" si="117"/>
        <v/>
      </c>
      <c r="AH896" s="222" t="str">
        <f t="shared" si="119"/>
        <v/>
      </c>
      <c r="AI896" s="220">
        <f t="shared" si="124"/>
        <v>4</v>
      </c>
      <c r="AJ896" s="222">
        <f t="shared" si="120"/>
        <v>0</v>
      </c>
      <c r="AK896" s="299" t="str">
        <f>IF(ISERROR(LOOKUP(E896,WKNrListe,Übersicht!$R$7:$R$46)),"-",LOOKUP(E896,WKNrListe,Übersicht!$R$7:$R$46))</f>
        <v>-</v>
      </c>
      <c r="AL896" s="299" t="str">
        <f t="shared" si="123"/>
        <v>-</v>
      </c>
      <c r="AM896" s="303"/>
      <c r="AN896" s="174" t="str">
        <f t="shared" si="125"/>
        <v>Leer</v>
      </c>
    </row>
    <row r="897" spans="1:40" s="174" customFormat="1" ht="15" customHeight="1">
      <c r="A897" s="63"/>
      <c r="B897" s="63"/>
      <c r="C897" s="84"/>
      <c r="D897" s="85"/>
      <c r="E897" s="62"/>
      <c r="F897" s="62"/>
      <c r="G897" s="62"/>
      <c r="H897" s="62"/>
      <c r="I897" s="62"/>
      <c r="J897" s="62"/>
      <c r="K897" s="62"/>
      <c r="L897" s="62"/>
      <c r="M897" s="62"/>
      <c r="N897" s="62"/>
      <c r="O897" s="62"/>
      <c r="P897" s="62"/>
      <c r="Q897" s="62"/>
      <c r="R897" s="62"/>
      <c r="S897" s="258"/>
      <c r="T897" s="248" t="str">
        <f t="shared" si="121"/>
        <v/>
      </c>
      <c r="U897" s="249" t="str">
        <f t="shared" si="122"/>
        <v/>
      </c>
      <c r="V897" s="294" t="str">
        <f t="shared" si="118"/>
        <v/>
      </c>
      <c r="W897" s="294" t="str">
        <f>IF(((E897="")+(F897="")),"",IF(VLOOKUP(F897,Mannschaften!$A$1:$B$54,2,FALSE)&lt;&gt;E897,"Reiter Mannschaften füllen",""))</f>
        <v/>
      </c>
      <c r="X897" s="248" t="str">
        <f>IF(ISBLANK(C897),"",IF((U897&gt;(LOOKUP(E897,WKNrListe,Übersicht!$O$7:$O$46)))+(U897&lt;(LOOKUP(E897,WKNrListe,Übersicht!$P$7:$P$46))),"JG falsch",""))</f>
        <v/>
      </c>
      <c r="Y897" s="255" t="str">
        <f>IF((A897="")*(B897=""),"",IF(ISERROR(MATCH(E897,WKNrListe,0)),"WK falsch",LOOKUP(E897,WKNrListe,Übersicht!$B$7:$B$46)))</f>
        <v/>
      </c>
      <c r="Z897" s="269" t="str">
        <f>IF(((AJ897=0)*(AH897&lt;&gt;"")*(AK897="-"))+((AJ897&lt;&gt;0)*(AH897&lt;&gt;"")*(AK897="-")),IF(AG897="X",Übersicht!$C$70,Übersicht!$C$69),"-")</f>
        <v>-</v>
      </c>
      <c r="AA897" s="252" t="str">
        <f>IF((($A897="")*($B897=""))+((MID($Y897,1,4)&lt;&gt;"Wahl")*(Deckblatt!$C$14='WK-Vorlagen'!$C$82))+(Deckblatt!$C$14&lt;&gt;'WK-Vorlagen'!$C$82),"",IF(ISERROR(MATCH(VALUE(MID(G897,1,2)),Schwierigkeitsstufen!$G$7:$G$19,0)),"Gerät falsch",LOOKUP(VALUE(MID(G897,1,2)),Schwierigkeitsstufen!$G$7:$G$19,Schwierigkeitsstufen!$H$7:$H$19)))</f>
        <v/>
      </c>
      <c r="AB897" s="250" t="str">
        <f>IF((($A897="")*($B897=""))+((MID($Y897,1,4)&lt;&gt;"Wahl")*(Deckblatt!$C$14='WK-Vorlagen'!$C$82))+(Deckblatt!$C$14&lt;&gt;'WK-Vorlagen'!$C$82),"",IF(ISERROR(MATCH(VALUE(MID(H897,1,2)),Schwierigkeitsstufen!$G$7:$G$19,0)),"Gerät falsch",LOOKUP(VALUE(MID(H897,1,2)),Schwierigkeitsstufen!$G$7:$G$19,Schwierigkeitsstufen!$H$7:$H$19)))</f>
        <v/>
      </c>
      <c r="AC897" s="250" t="str">
        <f>IF((($A897="")*($B897=""))+((MID($Y897,1,4)&lt;&gt;"Wahl")*(Deckblatt!$C$14='WK-Vorlagen'!$C$82))+(Deckblatt!$C$14&lt;&gt;'WK-Vorlagen'!$C$82),"",IF(ISERROR(MATCH(VALUE(MID(I897,1,2)),Schwierigkeitsstufen!$G$7:$G$19,0)),"Gerät falsch",LOOKUP(VALUE(MID(I897,1,2)),Schwierigkeitsstufen!$G$7:$G$19,Schwierigkeitsstufen!$H$7:$H$19)))</f>
        <v/>
      </c>
      <c r="AD897" s="251" t="str">
        <f>IF((($A897="")*($B897=""))+((MID($Y897,1,4)&lt;&gt;"Wahl")*(Deckblatt!$C$14='WK-Vorlagen'!$C$82))+(Deckblatt!$C$14&lt;&gt;'WK-Vorlagen'!$C$82),"",IF(ISERROR(MATCH(VALUE(MID(J897,1,2)),Schwierigkeitsstufen!$G$7:$G$19,0)),"Gerät falsch",LOOKUP(VALUE(MID(J897,1,2)),Schwierigkeitsstufen!$G$7:$G$19,Schwierigkeitsstufen!$H$7:$H$19)))</f>
        <v/>
      </c>
      <c r="AE897" s="211"/>
      <c r="AG897" s="221" t="str">
        <f t="shared" si="117"/>
        <v/>
      </c>
      <c r="AH897" s="222" t="str">
        <f t="shared" si="119"/>
        <v/>
      </c>
      <c r="AI897" s="220">
        <f t="shared" si="124"/>
        <v>4</v>
      </c>
      <c r="AJ897" s="222">
        <f t="shared" si="120"/>
        <v>0</v>
      </c>
      <c r="AK897" s="299" t="str">
        <f>IF(ISERROR(LOOKUP(E897,WKNrListe,Übersicht!$R$7:$R$46)),"-",LOOKUP(E897,WKNrListe,Übersicht!$R$7:$R$46))</f>
        <v>-</v>
      </c>
      <c r="AL897" s="299" t="str">
        <f t="shared" si="123"/>
        <v>-</v>
      </c>
      <c r="AM897" s="303"/>
      <c r="AN897" s="174" t="str">
        <f t="shared" si="125"/>
        <v>Leer</v>
      </c>
    </row>
    <row r="898" spans="1:40" s="174" customFormat="1" ht="15" customHeight="1">
      <c r="A898" s="63"/>
      <c r="B898" s="63"/>
      <c r="C898" s="84"/>
      <c r="D898" s="85"/>
      <c r="E898" s="62"/>
      <c r="F898" s="62"/>
      <c r="G898" s="62"/>
      <c r="H898" s="62"/>
      <c r="I898" s="62"/>
      <c r="J898" s="62"/>
      <c r="K898" s="62"/>
      <c r="L898" s="62"/>
      <c r="M898" s="62"/>
      <c r="N898" s="62"/>
      <c r="O898" s="62"/>
      <c r="P898" s="62"/>
      <c r="Q898" s="62"/>
      <c r="R898" s="62"/>
      <c r="S898" s="258"/>
      <c r="T898" s="248" t="str">
        <f t="shared" si="121"/>
        <v/>
      </c>
      <c r="U898" s="249" t="str">
        <f t="shared" si="122"/>
        <v/>
      </c>
      <c r="V898" s="294" t="str">
        <f t="shared" si="118"/>
        <v/>
      </c>
      <c r="W898" s="294" t="str">
        <f>IF(((E898="")+(F898="")),"",IF(VLOOKUP(F898,Mannschaften!$A$1:$B$54,2,FALSE)&lt;&gt;E898,"Reiter Mannschaften füllen",""))</f>
        <v/>
      </c>
      <c r="X898" s="248" t="str">
        <f>IF(ISBLANK(C898),"",IF((U898&gt;(LOOKUP(E898,WKNrListe,Übersicht!$O$7:$O$46)))+(U898&lt;(LOOKUP(E898,WKNrListe,Übersicht!$P$7:$P$46))),"JG falsch",""))</f>
        <v/>
      </c>
      <c r="Y898" s="255" t="str">
        <f>IF((A898="")*(B898=""),"",IF(ISERROR(MATCH(E898,WKNrListe,0)),"WK falsch",LOOKUP(E898,WKNrListe,Übersicht!$B$7:$B$46)))</f>
        <v/>
      </c>
      <c r="Z898" s="269" t="str">
        <f>IF(((AJ898=0)*(AH898&lt;&gt;"")*(AK898="-"))+((AJ898&lt;&gt;0)*(AH898&lt;&gt;"")*(AK898="-")),IF(AG898="X",Übersicht!$C$70,Übersicht!$C$69),"-")</f>
        <v>-</v>
      </c>
      <c r="AA898" s="252" t="str">
        <f>IF((($A898="")*($B898=""))+((MID($Y898,1,4)&lt;&gt;"Wahl")*(Deckblatt!$C$14='WK-Vorlagen'!$C$82))+(Deckblatt!$C$14&lt;&gt;'WK-Vorlagen'!$C$82),"",IF(ISERROR(MATCH(VALUE(MID(G898,1,2)),Schwierigkeitsstufen!$G$7:$G$19,0)),"Gerät falsch",LOOKUP(VALUE(MID(G898,1,2)),Schwierigkeitsstufen!$G$7:$G$19,Schwierigkeitsstufen!$H$7:$H$19)))</f>
        <v/>
      </c>
      <c r="AB898" s="250" t="str">
        <f>IF((($A898="")*($B898=""))+((MID($Y898,1,4)&lt;&gt;"Wahl")*(Deckblatt!$C$14='WK-Vorlagen'!$C$82))+(Deckblatt!$C$14&lt;&gt;'WK-Vorlagen'!$C$82),"",IF(ISERROR(MATCH(VALUE(MID(H898,1,2)),Schwierigkeitsstufen!$G$7:$G$19,0)),"Gerät falsch",LOOKUP(VALUE(MID(H898,1,2)),Schwierigkeitsstufen!$G$7:$G$19,Schwierigkeitsstufen!$H$7:$H$19)))</f>
        <v/>
      </c>
      <c r="AC898" s="250" t="str">
        <f>IF((($A898="")*($B898=""))+((MID($Y898,1,4)&lt;&gt;"Wahl")*(Deckblatt!$C$14='WK-Vorlagen'!$C$82))+(Deckblatt!$C$14&lt;&gt;'WK-Vorlagen'!$C$82),"",IF(ISERROR(MATCH(VALUE(MID(I898,1,2)),Schwierigkeitsstufen!$G$7:$G$19,0)),"Gerät falsch",LOOKUP(VALUE(MID(I898,1,2)),Schwierigkeitsstufen!$G$7:$G$19,Schwierigkeitsstufen!$H$7:$H$19)))</f>
        <v/>
      </c>
      <c r="AD898" s="251" t="str">
        <f>IF((($A898="")*($B898=""))+((MID($Y898,1,4)&lt;&gt;"Wahl")*(Deckblatt!$C$14='WK-Vorlagen'!$C$82))+(Deckblatt!$C$14&lt;&gt;'WK-Vorlagen'!$C$82),"",IF(ISERROR(MATCH(VALUE(MID(J898,1,2)),Schwierigkeitsstufen!$G$7:$G$19,0)),"Gerät falsch",LOOKUP(VALUE(MID(J898,1,2)),Schwierigkeitsstufen!$G$7:$G$19,Schwierigkeitsstufen!$H$7:$H$19)))</f>
        <v/>
      </c>
      <c r="AE898" s="211"/>
      <c r="AG898" s="221" t="str">
        <f t="shared" si="117"/>
        <v/>
      </c>
      <c r="AH898" s="222" t="str">
        <f t="shared" si="119"/>
        <v/>
      </c>
      <c r="AI898" s="220">
        <f t="shared" si="124"/>
        <v>4</v>
      </c>
      <c r="AJ898" s="222">
        <f t="shared" si="120"/>
        <v>0</v>
      </c>
      <c r="AK898" s="299" t="str">
        <f>IF(ISERROR(LOOKUP(E898,WKNrListe,Übersicht!$R$7:$R$46)),"-",LOOKUP(E898,WKNrListe,Übersicht!$R$7:$R$46))</f>
        <v>-</v>
      </c>
      <c r="AL898" s="299" t="str">
        <f t="shared" si="123"/>
        <v>-</v>
      </c>
      <c r="AM898" s="303"/>
      <c r="AN898" s="174" t="str">
        <f t="shared" si="125"/>
        <v>Leer</v>
      </c>
    </row>
    <row r="899" spans="1:40" s="174" customFormat="1" ht="15" customHeight="1">
      <c r="A899" s="63"/>
      <c r="B899" s="63"/>
      <c r="C899" s="84"/>
      <c r="D899" s="85"/>
      <c r="E899" s="62"/>
      <c r="F899" s="62"/>
      <c r="G899" s="62"/>
      <c r="H899" s="62"/>
      <c r="I899" s="62"/>
      <c r="J899" s="62"/>
      <c r="K899" s="62"/>
      <c r="L899" s="62"/>
      <c r="M899" s="62"/>
      <c r="N899" s="62"/>
      <c r="O899" s="62"/>
      <c r="P899" s="62"/>
      <c r="Q899" s="62"/>
      <c r="R899" s="62"/>
      <c r="S899" s="258"/>
      <c r="T899" s="248" t="str">
        <f t="shared" si="121"/>
        <v/>
      </c>
      <c r="U899" s="249" t="str">
        <f t="shared" si="122"/>
        <v/>
      </c>
      <c r="V899" s="294" t="str">
        <f t="shared" si="118"/>
        <v/>
      </c>
      <c r="W899" s="294" t="str">
        <f>IF(((E899="")+(F899="")),"",IF(VLOOKUP(F899,Mannschaften!$A$1:$B$54,2,FALSE)&lt;&gt;E899,"Reiter Mannschaften füllen",""))</f>
        <v/>
      </c>
      <c r="X899" s="248" t="str">
        <f>IF(ISBLANK(C899),"",IF((U899&gt;(LOOKUP(E899,WKNrListe,Übersicht!$O$7:$O$46)))+(U899&lt;(LOOKUP(E899,WKNrListe,Übersicht!$P$7:$P$46))),"JG falsch",""))</f>
        <v/>
      </c>
      <c r="Y899" s="255" t="str">
        <f>IF((A899="")*(B899=""),"",IF(ISERROR(MATCH(E899,WKNrListe,0)),"WK falsch",LOOKUP(E899,WKNrListe,Übersicht!$B$7:$B$46)))</f>
        <v/>
      </c>
      <c r="Z899" s="269" t="str">
        <f>IF(((AJ899=0)*(AH899&lt;&gt;"")*(AK899="-"))+((AJ899&lt;&gt;0)*(AH899&lt;&gt;"")*(AK899="-")),IF(AG899="X",Übersicht!$C$70,Übersicht!$C$69),"-")</f>
        <v>-</v>
      </c>
      <c r="AA899" s="252" t="str">
        <f>IF((($A899="")*($B899=""))+((MID($Y899,1,4)&lt;&gt;"Wahl")*(Deckblatt!$C$14='WK-Vorlagen'!$C$82))+(Deckblatt!$C$14&lt;&gt;'WK-Vorlagen'!$C$82),"",IF(ISERROR(MATCH(VALUE(MID(G899,1,2)),Schwierigkeitsstufen!$G$7:$G$19,0)),"Gerät falsch",LOOKUP(VALUE(MID(G899,1,2)),Schwierigkeitsstufen!$G$7:$G$19,Schwierigkeitsstufen!$H$7:$H$19)))</f>
        <v/>
      </c>
      <c r="AB899" s="250" t="str">
        <f>IF((($A899="")*($B899=""))+((MID($Y899,1,4)&lt;&gt;"Wahl")*(Deckblatt!$C$14='WK-Vorlagen'!$C$82))+(Deckblatt!$C$14&lt;&gt;'WK-Vorlagen'!$C$82),"",IF(ISERROR(MATCH(VALUE(MID(H899,1,2)),Schwierigkeitsstufen!$G$7:$G$19,0)),"Gerät falsch",LOOKUP(VALUE(MID(H899,1,2)),Schwierigkeitsstufen!$G$7:$G$19,Schwierigkeitsstufen!$H$7:$H$19)))</f>
        <v/>
      </c>
      <c r="AC899" s="250" t="str">
        <f>IF((($A899="")*($B899=""))+((MID($Y899,1,4)&lt;&gt;"Wahl")*(Deckblatt!$C$14='WK-Vorlagen'!$C$82))+(Deckblatt!$C$14&lt;&gt;'WK-Vorlagen'!$C$82),"",IF(ISERROR(MATCH(VALUE(MID(I899,1,2)),Schwierigkeitsstufen!$G$7:$G$19,0)),"Gerät falsch",LOOKUP(VALUE(MID(I899,1,2)),Schwierigkeitsstufen!$G$7:$G$19,Schwierigkeitsstufen!$H$7:$H$19)))</f>
        <v/>
      </c>
      <c r="AD899" s="251" t="str">
        <f>IF((($A899="")*($B899=""))+((MID($Y899,1,4)&lt;&gt;"Wahl")*(Deckblatt!$C$14='WK-Vorlagen'!$C$82))+(Deckblatt!$C$14&lt;&gt;'WK-Vorlagen'!$C$82),"",IF(ISERROR(MATCH(VALUE(MID(J899,1,2)),Schwierigkeitsstufen!$G$7:$G$19,0)),"Gerät falsch",LOOKUP(VALUE(MID(J899,1,2)),Schwierigkeitsstufen!$G$7:$G$19,Schwierigkeitsstufen!$H$7:$H$19)))</f>
        <v/>
      </c>
      <c r="AE899" s="211"/>
      <c r="AG899" s="221" t="str">
        <f t="shared" si="117"/>
        <v/>
      </c>
      <c r="AH899" s="222" t="str">
        <f t="shared" si="119"/>
        <v/>
      </c>
      <c r="AI899" s="220">
        <f t="shared" si="124"/>
        <v>4</v>
      </c>
      <c r="AJ899" s="222">
        <f t="shared" si="120"/>
        <v>0</v>
      </c>
      <c r="AK899" s="299" t="str">
        <f>IF(ISERROR(LOOKUP(E899,WKNrListe,Übersicht!$R$7:$R$46)),"-",LOOKUP(E899,WKNrListe,Übersicht!$R$7:$R$46))</f>
        <v>-</v>
      </c>
      <c r="AL899" s="299" t="str">
        <f t="shared" si="123"/>
        <v>-</v>
      </c>
      <c r="AM899" s="303"/>
      <c r="AN899" s="174" t="str">
        <f t="shared" si="125"/>
        <v>Leer</v>
      </c>
    </row>
    <row r="900" spans="1:40" s="174" customFormat="1" ht="15" customHeight="1">
      <c r="A900" s="63"/>
      <c r="B900" s="63"/>
      <c r="C900" s="84"/>
      <c r="D900" s="85"/>
      <c r="E900" s="62"/>
      <c r="F900" s="62"/>
      <c r="G900" s="62"/>
      <c r="H900" s="62"/>
      <c r="I900" s="62"/>
      <c r="J900" s="62"/>
      <c r="K900" s="62"/>
      <c r="L900" s="62"/>
      <c r="M900" s="62"/>
      <c r="N900" s="62"/>
      <c r="O900" s="62"/>
      <c r="P900" s="62"/>
      <c r="Q900" s="62"/>
      <c r="R900" s="62"/>
      <c r="S900" s="258"/>
      <c r="T900" s="248" t="str">
        <f t="shared" si="121"/>
        <v/>
      </c>
      <c r="U900" s="249" t="str">
        <f t="shared" si="122"/>
        <v/>
      </c>
      <c r="V900" s="294" t="str">
        <f t="shared" si="118"/>
        <v/>
      </c>
      <c r="W900" s="294" t="str">
        <f>IF(((E900="")+(F900="")),"",IF(VLOOKUP(F900,Mannschaften!$A$1:$B$54,2,FALSE)&lt;&gt;E900,"Reiter Mannschaften füllen",""))</f>
        <v/>
      </c>
      <c r="X900" s="248" t="str">
        <f>IF(ISBLANK(C900),"",IF((U900&gt;(LOOKUP(E900,WKNrListe,Übersicht!$O$7:$O$46)))+(U900&lt;(LOOKUP(E900,WKNrListe,Übersicht!$P$7:$P$46))),"JG falsch",""))</f>
        <v/>
      </c>
      <c r="Y900" s="255" t="str">
        <f>IF((A900="")*(B900=""),"",IF(ISERROR(MATCH(E900,WKNrListe,0)),"WK falsch",LOOKUP(E900,WKNrListe,Übersicht!$B$7:$B$46)))</f>
        <v/>
      </c>
      <c r="Z900" s="269" t="str">
        <f>IF(((AJ900=0)*(AH900&lt;&gt;"")*(AK900="-"))+((AJ900&lt;&gt;0)*(AH900&lt;&gt;"")*(AK900="-")),IF(AG900="X",Übersicht!$C$70,Übersicht!$C$69),"-")</f>
        <v>-</v>
      </c>
      <c r="AA900" s="252" t="str">
        <f>IF((($A900="")*($B900=""))+((MID($Y900,1,4)&lt;&gt;"Wahl")*(Deckblatt!$C$14='WK-Vorlagen'!$C$82))+(Deckblatt!$C$14&lt;&gt;'WK-Vorlagen'!$C$82),"",IF(ISERROR(MATCH(VALUE(MID(G900,1,2)),Schwierigkeitsstufen!$G$7:$G$19,0)),"Gerät falsch",LOOKUP(VALUE(MID(G900,1,2)),Schwierigkeitsstufen!$G$7:$G$19,Schwierigkeitsstufen!$H$7:$H$19)))</f>
        <v/>
      </c>
      <c r="AB900" s="250" t="str">
        <f>IF((($A900="")*($B900=""))+((MID($Y900,1,4)&lt;&gt;"Wahl")*(Deckblatt!$C$14='WK-Vorlagen'!$C$82))+(Deckblatt!$C$14&lt;&gt;'WK-Vorlagen'!$C$82),"",IF(ISERROR(MATCH(VALUE(MID(H900,1,2)),Schwierigkeitsstufen!$G$7:$G$19,0)),"Gerät falsch",LOOKUP(VALUE(MID(H900,1,2)),Schwierigkeitsstufen!$G$7:$G$19,Schwierigkeitsstufen!$H$7:$H$19)))</f>
        <v/>
      </c>
      <c r="AC900" s="250" t="str">
        <f>IF((($A900="")*($B900=""))+((MID($Y900,1,4)&lt;&gt;"Wahl")*(Deckblatt!$C$14='WK-Vorlagen'!$C$82))+(Deckblatt!$C$14&lt;&gt;'WK-Vorlagen'!$C$82),"",IF(ISERROR(MATCH(VALUE(MID(I900,1,2)),Schwierigkeitsstufen!$G$7:$G$19,0)),"Gerät falsch",LOOKUP(VALUE(MID(I900,1,2)),Schwierigkeitsstufen!$G$7:$G$19,Schwierigkeitsstufen!$H$7:$H$19)))</f>
        <v/>
      </c>
      <c r="AD900" s="251" t="str">
        <f>IF((($A900="")*($B900=""))+((MID($Y900,1,4)&lt;&gt;"Wahl")*(Deckblatt!$C$14='WK-Vorlagen'!$C$82))+(Deckblatt!$C$14&lt;&gt;'WK-Vorlagen'!$C$82),"",IF(ISERROR(MATCH(VALUE(MID(J900,1,2)),Schwierigkeitsstufen!$G$7:$G$19,0)),"Gerät falsch",LOOKUP(VALUE(MID(J900,1,2)),Schwierigkeitsstufen!$G$7:$G$19,Schwierigkeitsstufen!$H$7:$H$19)))</f>
        <v/>
      </c>
      <c r="AE900" s="211"/>
      <c r="AG900" s="221" t="str">
        <f t="shared" ref="AG900:AG963" si="126">IF((C900&lt;&gt;0),IF(((Jahr-U900)&gt;19)*(AJ900=0)*(AK900&lt;&gt;1),"X",IF(((Jahr-U900)&gt;19)*(AJ900=0),"J","-")),"")</f>
        <v/>
      </c>
      <c r="AH900" s="222" t="str">
        <f t="shared" si="119"/>
        <v/>
      </c>
      <c r="AI900" s="220">
        <f t="shared" si="124"/>
        <v>4</v>
      </c>
      <c r="AJ900" s="222">
        <f t="shared" si="120"/>
        <v>0</v>
      </c>
      <c r="AK900" s="299" t="str">
        <f>IF(ISERROR(LOOKUP(E900,WKNrListe,Übersicht!$R$7:$R$46)),"-",LOOKUP(E900,WKNrListe,Übersicht!$R$7:$R$46))</f>
        <v>-</v>
      </c>
      <c r="AL900" s="299" t="str">
        <f t="shared" si="123"/>
        <v>-</v>
      </c>
      <c r="AM900" s="303"/>
      <c r="AN900" s="174" t="str">
        <f t="shared" si="125"/>
        <v>Leer</v>
      </c>
    </row>
    <row r="901" spans="1:40" s="174" customFormat="1" ht="15" customHeight="1">
      <c r="A901" s="63"/>
      <c r="B901" s="63"/>
      <c r="C901" s="84"/>
      <c r="D901" s="85"/>
      <c r="E901" s="62"/>
      <c r="F901" s="62"/>
      <c r="G901" s="62"/>
      <c r="H901" s="62"/>
      <c r="I901" s="62"/>
      <c r="J901" s="62"/>
      <c r="K901" s="62"/>
      <c r="L901" s="62"/>
      <c r="M901" s="62"/>
      <c r="N901" s="62"/>
      <c r="O901" s="62"/>
      <c r="P901" s="62"/>
      <c r="Q901" s="62"/>
      <c r="R901" s="62"/>
      <c r="S901" s="258"/>
      <c r="T901" s="248" t="str">
        <f t="shared" si="121"/>
        <v/>
      </c>
      <c r="U901" s="249" t="str">
        <f t="shared" si="122"/>
        <v/>
      </c>
      <c r="V901" s="294" t="str">
        <f t="shared" ref="V901:V964" si="127">IF(((AK901="-")*(F901=""))+((AK901=1)*(F901&lt;&gt;""))+(Y901="WK falsch"),"",IF((AK901=1)*(F901=""),"Mannsch-Nr fehlt","Mannsch-Nr entf"))</f>
        <v/>
      </c>
      <c r="W901" s="294" t="str">
        <f>IF(((E901="")+(F901="")),"",IF(VLOOKUP(F901,Mannschaften!$A$1:$B$54,2,FALSE)&lt;&gt;E901,"Reiter Mannschaften füllen",""))</f>
        <v/>
      </c>
      <c r="X901" s="248" t="str">
        <f>IF(ISBLANK(C901),"",IF((U901&gt;(LOOKUP(E901,WKNrListe,Übersicht!$O$7:$O$46)))+(U901&lt;(LOOKUP(E901,WKNrListe,Übersicht!$P$7:$P$46))),"JG falsch",""))</f>
        <v/>
      </c>
      <c r="Y901" s="255" t="str">
        <f>IF((A901="")*(B901=""),"",IF(ISERROR(MATCH(E901,WKNrListe,0)),"WK falsch",LOOKUP(E901,WKNrListe,Übersicht!$B$7:$B$46)))</f>
        <v/>
      </c>
      <c r="Z901" s="269" t="str">
        <f>IF(((AJ901=0)*(AH901&lt;&gt;"")*(AK901="-"))+((AJ901&lt;&gt;0)*(AH901&lt;&gt;"")*(AK901="-")),IF(AG901="X",Übersicht!$C$70,Übersicht!$C$69),"-")</f>
        <v>-</v>
      </c>
      <c r="AA901" s="252" t="str">
        <f>IF((($A901="")*($B901=""))+((MID($Y901,1,4)&lt;&gt;"Wahl")*(Deckblatt!$C$14='WK-Vorlagen'!$C$82))+(Deckblatt!$C$14&lt;&gt;'WK-Vorlagen'!$C$82),"",IF(ISERROR(MATCH(VALUE(MID(G901,1,2)),Schwierigkeitsstufen!$G$7:$G$19,0)),"Gerät falsch",LOOKUP(VALUE(MID(G901,1,2)),Schwierigkeitsstufen!$G$7:$G$19,Schwierigkeitsstufen!$H$7:$H$19)))</f>
        <v/>
      </c>
      <c r="AB901" s="250" t="str">
        <f>IF((($A901="")*($B901=""))+((MID($Y901,1,4)&lt;&gt;"Wahl")*(Deckblatt!$C$14='WK-Vorlagen'!$C$82))+(Deckblatt!$C$14&lt;&gt;'WK-Vorlagen'!$C$82),"",IF(ISERROR(MATCH(VALUE(MID(H901,1,2)),Schwierigkeitsstufen!$G$7:$G$19,0)),"Gerät falsch",LOOKUP(VALUE(MID(H901,1,2)),Schwierigkeitsstufen!$G$7:$G$19,Schwierigkeitsstufen!$H$7:$H$19)))</f>
        <v/>
      </c>
      <c r="AC901" s="250" t="str">
        <f>IF((($A901="")*($B901=""))+((MID($Y901,1,4)&lt;&gt;"Wahl")*(Deckblatt!$C$14='WK-Vorlagen'!$C$82))+(Deckblatt!$C$14&lt;&gt;'WK-Vorlagen'!$C$82),"",IF(ISERROR(MATCH(VALUE(MID(I901,1,2)),Schwierigkeitsstufen!$G$7:$G$19,0)),"Gerät falsch",LOOKUP(VALUE(MID(I901,1,2)),Schwierigkeitsstufen!$G$7:$G$19,Schwierigkeitsstufen!$H$7:$H$19)))</f>
        <v/>
      </c>
      <c r="AD901" s="251" t="str">
        <f>IF((($A901="")*($B901=""))+((MID($Y901,1,4)&lt;&gt;"Wahl")*(Deckblatt!$C$14='WK-Vorlagen'!$C$82))+(Deckblatt!$C$14&lt;&gt;'WK-Vorlagen'!$C$82),"",IF(ISERROR(MATCH(VALUE(MID(J901,1,2)),Schwierigkeitsstufen!$G$7:$G$19,0)),"Gerät falsch",LOOKUP(VALUE(MID(J901,1,2)),Schwierigkeitsstufen!$G$7:$G$19,Schwierigkeitsstufen!$H$7:$H$19)))</f>
        <v/>
      </c>
      <c r="AE901" s="211"/>
      <c r="AG901" s="221" t="str">
        <f t="shared" si="126"/>
        <v/>
      </c>
      <c r="AH901" s="222" t="str">
        <f t="shared" ref="AH901:AH964" si="128">CONCATENATE(TRIM(A901),TRIM(B901),TRIM(C901))</f>
        <v/>
      </c>
      <c r="AI901" s="220">
        <f t="shared" si="124"/>
        <v>4</v>
      </c>
      <c r="AJ901" s="222">
        <f t="shared" ref="AJ901:AJ964" si="129">IF(AH901="",0,IF(ROW(AH901)=AI901,0,AI901))</f>
        <v>0</v>
      </c>
      <c r="AK901" s="299" t="str">
        <f>IF(ISERROR(LOOKUP(E901,WKNrListe,Übersicht!$R$7:$R$46)),"-",LOOKUP(E901,WKNrListe,Übersicht!$R$7:$R$46))</f>
        <v>-</v>
      </c>
      <c r="AL901" s="299" t="str">
        <f t="shared" si="123"/>
        <v>-</v>
      </c>
      <c r="AM901" s="303"/>
      <c r="AN901" s="174" t="str">
        <f t="shared" si="125"/>
        <v>Leer</v>
      </c>
    </row>
    <row r="902" spans="1:40" s="174" customFormat="1" ht="15" customHeight="1">
      <c r="A902" s="63"/>
      <c r="B902" s="63"/>
      <c r="C902" s="84"/>
      <c r="D902" s="85"/>
      <c r="E902" s="62"/>
      <c r="F902" s="62"/>
      <c r="G902" s="62"/>
      <c r="H902" s="62"/>
      <c r="I902" s="62"/>
      <c r="J902" s="62"/>
      <c r="K902" s="62"/>
      <c r="L902" s="62"/>
      <c r="M902" s="62"/>
      <c r="N902" s="62"/>
      <c r="O902" s="62"/>
      <c r="P902" s="62"/>
      <c r="Q902" s="62"/>
      <c r="R902" s="62"/>
      <c r="S902" s="258"/>
      <c r="T902" s="248" t="str">
        <f t="shared" ref="T902:T965" si="130">IF(AND(OR(ISTEXT(A902),ISTEXT(B902),NOT(ISBLANK(C902)),NOT(ISBLANK(D902)),NOT(ISBLANK(E902))),OR(ISBLANK(A902),ISBLANK(B902),ISBLANK(C902),ISBLANK(E902))),"unvollständig","")</f>
        <v/>
      </c>
      <c r="U902" s="249" t="str">
        <f t="shared" ref="U902:U965" si="131">IF(ISBLANK(C902),"",YEAR(C902))</f>
        <v/>
      </c>
      <c r="V902" s="294" t="str">
        <f t="shared" si="127"/>
        <v/>
      </c>
      <c r="W902" s="294" t="str">
        <f>IF(((E902="")+(F902="")),"",IF(VLOOKUP(F902,Mannschaften!$A$1:$B$54,2,FALSE)&lt;&gt;E902,"Reiter Mannschaften füllen",""))</f>
        <v/>
      </c>
      <c r="X902" s="248" t="str">
        <f>IF(ISBLANK(C902),"",IF((U902&gt;(LOOKUP(E902,WKNrListe,Übersicht!$O$7:$O$46)))+(U902&lt;(LOOKUP(E902,WKNrListe,Übersicht!$P$7:$P$46))),"JG falsch",""))</f>
        <v/>
      </c>
      <c r="Y902" s="255" t="str">
        <f>IF((A902="")*(B902=""),"",IF(ISERROR(MATCH(E902,WKNrListe,0)),"WK falsch",LOOKUP(E902,WKNrListe,Übersicht!$B$7:$B$46)))</f>
        <v/>
      </c>
      <c r="Z902" s="269" t="str">
        <f>IF(((AJ902=0)*(AH902&lt;&gt;"")*(AK902="-"))+((AJ902&lt;&gt;0)*(AH902&lt;&gt;"")*(AK902="-")),IF(AG902="X",Übersicht!$C$70,Übersicht!$C$69),"-")</f>
        <v>-</v>
      </c>
      <c r="AA902" s="252" t="str">
        <f>IF((($A902="")*($B902=""))+((MID($Y902,1,4)&lt;&gt;"Wahl")*(Deckblatt!$C$14='WK-Vorlagen'!$C$82))+(Deckblatt!$C$14&lt;&gt;'WK-Vorlagen'!$C$82),"",IF(ISERROR(MATCH(VALUE(MID(G902,1,2)),Schwierigkeitsstufen!$G$7:$G$19,0)),"Gerät falsch",LOOKUP(VALUE(MID(G902,1,2)),Schwierigkeitsstufen!$G$7:$G$19,Schwierigkeitsstufen!$H$7:$H$19)))</f>
        <v/>
      </c>
      <c r="AB902" s="250" t="str">
        <f>IF((($A902="")*($B902=""))+((MID($Y902,1,4)&lt;&gt;"Wahl")*(Deckblatt!$C$14='WK-Vorlagen'!$C$82))+(Deckblatt!$C$14&lt;&gt;'WK-Vorlagen'!$C$82),"",IF(ISERROR(MATCH(VALUE(MID(H902,1,2)),Schwierigkeitsstufen!$G$7:$G$19,0)),"Gerät falsch",LOOKUP(VALUE(MID(H902,1,2)),Schwierigkeitsstufen!$G$7:$G$19,Schwierigkeitsstufen!$H$7:$H$19)))</f>
        <v/>
      </c>
      <c r="AC902" s="250" t="str">
        <f>IF((($A902="")*($B902=""))+((MID($Y902,1,4)&lt;&gt;"Wahl")*(Deckblatt!$C$14='WK-Vorlagen'!$C$82))+(Deckblatt!$C$14&lt;&gt;'WK-Vorlagen'!$C$82),"",IF(ISERROR(MATCH(VALUE(MID(I902,1,2)),Schwierigkeitsstufen!$G$7:$G$19,0)),"Gerät falsch",LOOKUP(VALUE(MID(I902,1,2)),Schwierigkeitsstufen!$G$7:$G$19,Schwierigkeitsstufen!$H$7:$H$19)))</f>
        <v/>
      </c>
      <c r="AD902" s="251" t="str">
        <f>IF((($A902="")*($B902=""))+((MID($Y902,1,4)&lt;&gt;"Wahl")*(Deckblatt!$C$14='WK-Vorlagen'!$C$82))+(Deckblatt!$C$14&lt;&gt;'WK-Vorlagen'!$C$82),"",IF(ISERROR(MATCH(VALUE(MID(J902,1,2)),Schwierigkeitsstufen!$G$7:$G$19,0)),"Gerät falsch",LOOKUP(VALUE(MID(J902,1,2)),Schwierigkeitsstufen!$G$7:$G$19,Schwierigkeitsstufen!$H$7:$H$19)))</f>
        <v/>
      </c>
      <c r="AE902" s="211"/>
      <c r="AG902" s="221" t="str">
        <f t="shared" si="126"/>
        <v/>
      </c>
      <c r="AH902" s="222" t="str">
        <f t="shared" si="128"/>
        <v/>
      </c>
      <c r="AI902" s="220">
        <f t="shared" si="124"/>
        <v>4</v>
      </c>
      <c r="AJ902" s="222">
        <f t="shared" si="129"/>
        <v>0</v>
      </c>
      <c r="AK902" s="299" t="str">
        <f>IF(ISERROR(LOOKUP(E902,WKNrListe,Übersicht!$R$7:$R$46)),"-",LOOKUP(E902,WKNrListe,Übersicht!$R$7:$R$46))</f>
        <v>-</v>
      </c>
      <c r="AL902" s="299" t="str">
        <f t="shared" ref="AL902:AL965" si="132">IF(E902="","-",E902)</f>
        <v>-</v>
      </c>
      <c r="AM902" s="303"/>
      <c r="AN902" s="174" t="str">
        <f t="shared" si="125"/>
        <v>Leer</v>
      </c>
    </row>
    <row r="903" spans="1:40" s="174" customFormat="1" ht="15" customHeight="1">
      <c r="A903" s="63"/>
      <c r="B903" s="63"/>
      <c r="C903" s="84"/>
      <c r="D903" s="85"/>
      <c r="E903" s="62"/>
      <c r="F903" s="62"/>
      <c r="G903" s="62"/>
      <c r="H903" s="62"/>
      <c r="I903" s="62"/>
      <c r="J903" s="62"/>
      <c r="K903" s="62"/>
      <c r="L903" s="62"/>
      <c r="M903" s="62"/>
      <c r="N903" s="62"/>
      <c r="O903" s="62"/>
      <c r="P903" s="62"/>
      <c r="Q903" s="62"/>
      <c r="R903" s="62"/>
      <c r="S903" s="258"/>
      <c r="T903" s="248" t="str">
        <f t="shared" si="130"/>
        <v/>
      </c>
      <c r="U903" s="249" t="str">
        <f t="shared" si="131"/>
        <v/>
      </c>
      <c r="V903" s="294" t="str">
        <f t="shared" si="127"/>
        <v/>
      </c>
      <c r="W903" s="294" t="str">
        <f>IF(((E903="")+(F903="")),"",IF(VLOOKUP(F903,Mannschaften!$A$1:$B$54,2,FALSE)&lt;&gt;E903,"Reiter Mannschaften füllen",""))</f>
        <v/>
      </c>
      <c r="X903" s="248" t="str">
        <f>IF(ISBLANK(C903),"",IF((U903&gt;(LOOKUP(E903,WKNrListe,Übersicht!$O$7:$O$46)))+(U903&lt;(LOOKUP(E903,WKNrListe,Übersicht!$P$7:$P$46))),"JG falsch",""))</f>
        <v/>
      </c>
      <c r="Y903" s="255" t="str">
        <f>IF((A903="")*(B903=""),"",IF(ISERROR(MATCH(E903,WKNrListe,0)),"WK falsch",LOOKUP(E903,WKNrListe,Übersicht!$B$7:$B$46)))</f>
        <v/>
      </c>
      <c r="Z903" s="269" t="str">
        <f>IF(((AJ903=0)*(AH903&lt;&gt;"")*(AK903="-"))+((AJ903&lt;&gt;0)*(AH903&lt;&gt;"")*(AK903="-")),IF(AG903="X",Übersicht!$C$70,Übersicht!$C$69),"-")</f>
        <v>-</v>
      </c>
      <c r="AA903" s="252" t="str">
        <f>IF((($A903="")*($B903=""))+((MID($Y903,1,4)&lt;&gt;"Wahl")*(Deckblatt!$C$14='WK-Vorlagen'!$C$82))+(Deckblatt!$C$14&lt;&gt;'WK-Vorlagen'!$C$82),"",IF(ISERROR(MATCH(VALUE(MID(G903,1,2)),Schwierigkeitsstufen!$G$7:$G$19,0)),"Gerät falsch",LOOKUP(VALUE(MID(G903,1,2)),Schwierigkeitsstufen!$G$7:$G$19,Schwierigkeitsstufen!$H$7:$H$19)))</f>
        <v/>
      </c>
      <c r="AB903" s="250" t="str">
        <f>IF((($A903="")*($B903=""))+((MID($Y903,1,4)&lt;&gt;"Wahl")*(Deckblatt!$C$14='WK-Vorlagen'!$C$82))+(Deckblatt!$C$14&lt;&gt;'WK-Vorlagen'!$C$82),"",IF(ISERROR(MATCH(VALUE(MID(H903,1,2)),Schwierigkeitsstufen!$G$7:$G$19,0)),"Gerät falsch",LOOKUP(VALUE(MID(H903,1,2)),Schwierigkeitsstufen!$G$7:$G$19,Schwierigkeitsstufen!$H$7:$H$19)))</f>
        <v/>
      </c>
      <c r="AC903" s="250" t="str">
        <f>IF((($A903="")*($B903=""))+((MID($Y903,1,4)&lt;&gt;"Wahl")*(Deckblatt!$C$14='WK-Vorlagen'!$C$82))+(Deckblatt!$C$14&lt;&gt;'WK-Vorlagen'!$C$82),"",IF(ISERROR(MATCH(VALUE(MID(I903,1,2)),Schwierigkeitsstufen!$G$7:$G$19,0)),"Gerät falsch",LOOKUP(VALUE(MID(I903,1,2)),Schwierigkeitsstufen!$G$7:$G$19,Schwierigkeitsstufen!$H$7:$H$19)))</f>
        <v/>
      </c>
      <c r="AD903" s="251" t="str">
        <f>IF((($A903="")*($B903=""))+((MID($Y903,1,4)&lt;&gt;"Wahl")*(Deckblatt!$C$14='WK-Vorlagen'!$C$82))+(Deckblatt!$C$14&lt;&gt;'WK-Vorlagen'!$C$82),"",IF(ISERROR(MATCH(VALUE(MID(J903,1,2)),Schwierigkeitsstufen!$G$7:$G$19,0)),"Gerät falsch",LOOKUP(VALUE(MID(J903,1,2)),Schwierigkeitsstufen!$G$7:$G$19,Schwierigkeitsstufen!$H$7:$H$19)))</f>
        <v/>
      </c>
      <c r="AE903" s="211"/>
      <c r="AG903" s="221" t="str">
        <f t="shared" si="126"/>
        <v/>
      </c>
      <c r="AH903" s="222" t="str">
        <f t="shared" si="128"/>
        <v/>
      </c>
      <c r="AI903" s="220">
        <f t="shared" ref="AI903:AI966" si="133">MATCH(AH903,AH:AH,0)</f>
        <v>4</v>
      </c>
      <c r="AJ903" s="222">
        <f t="shared" si="129"/>
        <v>0</v>
      </c>
      <c r="AK903" s="299" t="str">
        <f>IF(ISERROR(LOOKUP(E903,WKNrListe,Übersicht!$R$7:$R$46)),"-",LOOKUP(E903,WKNrListe,Übersicht!$R$7:$R$46))</f>
        <v>-</v>
      </c>
      <c r="AL903" s="299" t="str">
        <f t="shared" si="132"/>
        <v>-</v>
      </c>
      <c r="AM903" s="303"/>
      <c r="AN903" s="174" t="str">
        <f t="shared" si="125"/>
        <v>Leer</v>
      </c>
    </row>
    <row r="904" spans="1:40" s="174" customFormat="1" ht="15" customHeight="1">
      <c r="A904" s="63"/>
      <c r="B904" s="63"/>
      <c r="C904" s="84"/>
      <c r="D904" s="85"/>
      <c r="E904" s="62"/>
      <c r="F904" s="62"/>
      <c r="G904" s="62"/>
      <c r="H904" s="62"/>
      <c r="I904" s="62"/>
      <c r="J904" s="62"/>
      <c r="K904" s="62"/>
      <c r="L904" s="62"/>
      <c r="M904" s="62"/>
      <c r="N904" s="62"/>
      <c r="O904" s="62"/>
      <c r="P904" s="62"/>
      <c r="Q904" s="62"/>
      <c r="R904" s="62"/>
      <c r="S904" s="258"/>
      <c r="T904" s="248" t="str">
        <f t="shared" si="130"/>
        <v/>
      </c>
      <c r="U904" s="249" t="str">
        <f t="shared" si="131"/>
        <v/>
      </c>
      <c r="V904" s="294" t="str">
        <f t="shared" si="127"/>
        <v/>
      </c>
      <c r="W904" s="294" t="str">
        <f>IF(((E904="")+(F904="")),"",IF(VLOOKUP(F904,Mannschaften!$A$1:$B$54,2,FALSE)&lt;&gt;E904,"Reiter Mannschaften füllen",""))</f>
        <v/>
      </c>
      <c r="X904" s="248" t="str">
        <f>IF(ISBLANK(C904),"",IF((U904&gt;(LOOKUP(E904,WKNrListe,Übersicht!$O$7:$O$46)))+(U904&lt;(LOOKUP(E904,WKNrListe,Übersicht!$P$7:$P$46))),"JG falsch",""))</f>
        <v/>
      </c>
      <c r="Y904" s="255" t="str">
        <f>IF((A904="")*(B904=""),"",IF(ISERROR(MATCH(E904,WKNrListe,0)),"WK falsch",LOOKUP(E904,WKNrListe,Übersicht!$B$7:$B$46)))</f>
        <v/>
      </c>
      <c r="Z904" s="269" t="str">
        <f>IF(((AJ904=0)*(AH904&lt;&gt;"")*(AK904="-"))+((AJ904&lt;&gt;0)*(AH904&lt;&gt;"")*(AK904="-")),IF(AG904="X",Übersicht!$C$70,Übersicht!$C$69),"-")</f>
        <v>-</v>
      </c>
      <c r="AA904" s="252" t="str">
        <f>IF((($A904="")*($B904=""))+((MID($Y904,1,4)&lt;&gt;"Wahl")*(Deckblatt!$C$14='WK-Vorlagen'!$C$82))+(Deckblatt!$C$14&lt;&gt;'WK-Vorlagen'!$C$82),"",IF(ISERROR(MATCH(VALUE(MID(G904,1,2)),Schwierigkeitsstufen!$G$7:$G$19,0)),"Gerät falsch",LOOKUP(VALUE(MID(G904,1,2)),Schwierigkeitsstufen!$G$7:$G$19,Schwierigkeitsstufen!$H$7:$H$19)))</f>
        <v/>
      </c>
      <c r="AB904" s="250" t="str">
        <f>IF((($A904="")*($B904=""))+((MID($Y904,1,4)&lt;&gt;"Wahl")*(Deckblatt!$C$14='WK-Vorlagen'!$C$82))+(Deckblatt!$C$14&lt;&gt;'WK-Vorlagen'!$C$82),"",IF(ISERROR(MATCH(VALUE(MID(H904,1,2)),Schwierigkeitsstufen!$G$7:$G$19,0)),"Gerät falsch",LOOKUP(VALUE(MID(H904,1,2)),Schwierigkeitsstufen!$G$7:$G$19,Schwierigkeitsstufen!$H$7:$H$19)))</f>
        <v/>
      </c>
      <c r="AC904" s="250" t="str">
        <f>IF((($A904="")*($B904=""))+((MID($Y904,1,4)&lt;&gt;"Wahl")*(Deckblatt!$C$14='WK-Vorlagen'!$C$82))+(Deckblatt!$C$14&lt;&gt;'WK-Vorlagen'!$C$82),"",IF(ISERROR(MATCH(VALUE(MID(I904,1,2)),Schwierigkeitsstufen!$G$7:$G$19,0)),"Gerät falsch",LOOKUP(VALUE(MID(I904,1,2)),Schwierigkeitsstufen!$G$7:$G$19,Schwierigkeitsstufen!$H$7:$H$19)))</f>
        <v/>
      </c>
      <c r="AD904" s="251" t="str">
        <f>IF((($A904="")*($B904=""))+((MID($Y904,1,4)&lt;&gt;"Wahl")*(Deckblatt!$C$14='WK-Vorlagen'!$C$82))+(Deckblatt!$C$14&lt;&gt;'WK-Vorlagen'!$C$82),"",IF(ISERROR(MATCH(VALUE(MID(J904,1,2)),Schwierigkeitsstufen!$G$7:$G$19,0)),"Gerät falsch",LOOKUP(VALUE(MID(J904,1,2)),Schwierigkeitsstufen!$G$7:$G$19,Schwierigkeitsstufen!$H$7:$H$19)))</f>
        <v/>
      </c>
      <c r="AE904" s="211"/>
      <c r="AG904" s="221" t="str">
        <f t="shared" si="126"/>
        <v/>
      </c>
      <c r="AH904" s="222" t="str">
        <f t="shared" si="128"/>
        <v/>
      </c>
      <c r="AI904" s="220">
        <f t="shared" si="133"/>
        <v>4</v>
      </c>
      <c r="AJ904" s="222">
        <f t="shared" si="129"/>
        <v>0</v>
      </c>
      <c r="AK904" s="299" t="str">
        <f>IF(ISERROR(LOOKUP(E904,WKNrListe,Übersicht!$R$7:$R$46)),"-",LOOKUP(E904,WKNrListe,Übersicht!$R$7:$R$46))</f>
        <v>-</v>
      </c>
      <c r="AL904" s="299" t="str">
        <f t="shared" si="132"/>
        <v>-</v>
      </c>
      <c r="AM904" s="303"/>
      <c r="AN904" s="174" t="str">
        <f t="shared" si="125"/>
        <v>Leer</v>
      </c>
    </row>
    <row r="905" spans="1:40" s="174" customFormat="1" ht="15" customHeight="1">
      <c r="A905" s="63"/>
      <c r="B905" s="63"/>
      <c r="C905" s="84"/>
      <c r="D905" s="85"/>
      <c r="E905" s="62"/>
      <c r="F905" s="62"/>
      <c r="G905" s="62"/>
      <c r="H905" s="62"/>
      <c r="I905" s="62"/>
      <c r="J905" s="62"/>
      <c r="K905" s="62"/>
      <c r="L905" s="62"/>
      <c r="M905" s="62"/>
      <c r="N905" s="62"/>
      <c r="O905" s="62"/>
      <c r="P905" s="62"/>
      <c r="Q905" s="62"/>
      <c r="R905" s="62"/>
      <c r="S905" s="258"/>
      <c r="T905" s="248" t="str">
        <f t="shared" si="130"/>
        <v/>
      </c>
      <c r="U905" s="249" t="str">
        <f t="shared" si="131"/>
        <v/>
      </c>
      <c r="V905" s="294" t="str">
        <f t="shared" si="127"/>
        <v/>
      </c>
      <c r="W905" s="294" t="str">
        <f>IF(((E905="")+(F905="")),"",IF(VLOOKUP(F905,Mannschaften!$A$1:$B$54,2,FALSE)&lt;&gt;E905,"Reiter Mannschaften füllen",""))</f>
        <v/>
      </c>
      <c r="X905" s="248" t="str">
        <f>IF(ISBLANK(C905),"",IF((U905&gt;(LOOKUP(E905,WKNrListe,Übersicht!$O$7:$O$46)))+(U905&lt;(LOOKUP(E905,WKNrListe,Übersicht!$P$7:$P$46))),"JG falsch",""))</f>
        <v/>
      </c>
      <c r="Y905" s="255" t="str">
        <f>IF((A905="")*(B905=""),"",IF(ISERROR(MATCH(E905,WKNrListe,0)),"WK falsch",LOOKUP(E905,WKNrListe,Übersicht!$B$7:$B$46)))</f>
        <v/>
      </c>
      <c r="Z905" s="269" t="str">
        <f>IF(((AJ905=0)*(AH905&lt;&gt;"")*(AK905="-"))+((AJ905&lt;&gt;0)*(AH905&lt;&gt;"")*(AK905="-")),IF(AG905="X",Übersicht!$C$70,Übersicht!$C$69),"-")</f>
        <v>-</v>
      </c>
      <c r="AA905" s="252" t="str">
        <f>IF((($A905="")*($B905=""))+((MID($Y905,1,4)&lt;&gt;"Wahl")*(Deckblatt!$C$14='WK-Vorlagen'!$C$82))+(Deckblatt!$C$14&lt;&gt;'WK-Vorlagen'!$C$82),"",IF(ISERROR(MATCH(VALUE(MID(G905,1,2)),Schwierigkeitsstufen!$G$7:$G$19,0)),"Gerät falsch",LOOKUP(VALUE(MID(G905,1,2)),Schwierigkeitsstufen!$G$7:$G$19,Schwierigkeitsstufen!$H$7:$H$19)))</f>
        <v/>
      </c>
      <c r="AB905" s="250" t="str">
        <f>IF((($A905="")*($B905=""))+((MID($Y905,1,4)&lt;&gt;"Wahl")*(Deckblatt!$C$14='WK-Vorlagen'!$C$82))+(Deckblatt!$C$14&lt;&gt;'WK-Vorlagen'!$C$82),"",IF(ISERROR(MATCH(VALUE(MID(H905,1,2)),Schwierigkeitsstufen!$G$7:$G$19,0)),"Gerät falsch",LOOKUP(VALUE(MID(H905,1,2)),Schwierigkeitsstufen!$G$7:$G$19,Schwierigkeitsstufen!$H$7:$H$19)))</f>
        <v/>
      </c>
      <c r="AC905" s="250" t="str">
        <f>IF((($A905="")*($B905=""))+((MID($Y905,1,4)&lt;&gt;"Wahl")*(Deckblatt!$C$14='WK-Vorlagen'!$C$82))+(Deckblatt!$C$14&lt;&gt;'WK-Vorlagen'!$C$82),"",IF(ISERROR(MATCH(VALUE(MID(I905,1,2)),Schwierigkeitsstufen!$G$7:$G$19,0)),"Gerät falsch",LOOKUP(VALUE(MID(I905,1,2)),Schwierigkeitsstufen!$G$7:$G$19,Schwierigkeitsstufen!$H$7:$H$19)))</f>
        <v/>
      </c>
      <c r="AD905" s="251" t="str">
        <f>IF((($A905="")*($B905=""))+((MID($Y905,1,4)&lt;&gt;"Wahl")*(Deckblatt!$C$14='WK-Vorlagen'!$C$82))+(Deckblatt!$C$14&lt;&gt;'WK-Vorlagen'!$C$82),"",IF(ISERROR(MATCH(VALUE(MID(J905,1,2)),Schwierigkeitsstufen!$G$7:$G$19,0)),"Gerät falsch",LOOKUP(VALUE(MID(J905,1,2)),Schwierigkeitsstufen!$G$7:$G$19,Schwierigkeitsstufen!$H$7:$H$19)))</f>
        <v/>
      </c>
      <c r="AE905" s="211"/>
      <c r="AG905" s="221" t="str">
        <f t="shared" si="126"/>
        <v/>
      </c>
      <c r="AH905" s="222" t="str">
        <f t="shared" si="128"/>
        <v/>
      </c>
      <c r="AI905" s="220">
        <f t="shared" si="133"/>
        <v>4</v>
      </c>
      <c r="AJ905" s="222">
        <f t="shared" si="129"/>
        <v>0</v>
      </c>
      <c r="AK905" s="299" t="str">
        <f>IF(ISERROR(LOOKUP(E905,WKNrListe,Übersicht!$R$7:$R$46)),"-",LOOKUP(E905,WKNrListe,Übersicht!$R$7:$R$46))</f>
        <v>-</v>
      </c>
      <c r="AL905" s="299" t="str">
        <f t="shared" si="132"/>
        <v>-</v>
      </c>
      <c r="AM905" s="303"/>
      <c r="AN905" s="174" t="str">
        <f t="shared" si="125"/>
        <v>Leer</v>
      </c>
    </row>
    <row r="906" spans="1:40" s="174" customFormat="1" ht="15" customHeight="1">
      <c r="A906" s="63"/>
      <c r="B906" s="63"/>
      <c r="C906" s="84"/>
      <c r="D906" s="85"/>
      <c r="E906" s="62"/>
      <c r="F906" s="62"/>
      <c r="G906" s="62"/>
      <c r="H906" s="62"/>
      <c r="I906" s="62"/>
      <c r="J906" s="62"/>
      <c r="K906" s="62"/>
      <c r="L906" s="62"/>
      <c r="M906" s="62"/>
      <c r="N906" s="62"/>
      <c r="O906" s="62"/>
      <c r="P906" s="62"/>
      <c r="Q906" s="62"/>
      <c r="R906" s="62"/>
      <c r="S906" s="258"/>
      <c r="T906" s="248" t="str">
        <f t="shared" si="130"/>
        <v/>
      </c>
      <c r="U906" s="249" t="str">
        <f t="shared" si="131"/>
        <v/>
      </c>
      <c r="V906" s="294" t="str">
        <f t="shared" si="127"/>
        <v/>
      </c>
      <c r="W906" s="294" t="str">
        <f>IF(((E906="")+(F906="")),"",IF(VLOOKUP(F906,Mannschaften!$A$1:$B$54,2,FALSE)&lt;&gt;E906,"Reiter Mannschaften füllen",""))</f>
        <v/>
      </c>
      <c r="X906" s="248" t="str">
        <f>IF(ISBLANK(C906),"",IF((U906&gt;(LOOKUP(E906,WKNrListe,Übersicht!$O$7:$O$46)))+(U906&lt;(LOOKUP(E906,WKNrListe,Übersicht!$P$7:$P$46))),"JG falsch",""))</f>
        <v/>
      </c>
      <c r="Y906" s="255" t="str">
        <f>IF((A906="")*(B906=""),"",IF(ISERROR(MATCH(E906,WKNrListe,0)),"WK falsch",LOOKUP(E906,WKNrListe,Übersicht!$B$7:$B$46)))</f>
        <v/>
      </c>
      <c r="Z906" s="269" t="str">
        <f>IF(((AJ906=0)*(AH906&lt;&gt;"")*(AK906="-"))+((AJ906&lt;&gt;0)*(AH906&lt;&gt;"")*(AK906="-")),IF(AG906="X",Übersicht!$C$70,Übersicht!$C$69),"-")</f>
        <v>-</v>
      </c>
      <c r="AA906" s="252" t="str">
        <f>IF((($A906="")*($B906=""))+((MID($Y906,1,4)&lt;&gt;"Wahl")*(Deckblatt!$C$14='WK-Vorlagen'!$C$82))+(Deckblatt!$C$14&lt;&gt;'WK-Vorlagen'!$C$82),"",IF(ISERROR(MATCH(VALUE(MID(G906,1,2)),Schwierigkeitsstufen!$G$7:$G$19,0)),"Gerät falsch",LOOKUP(VALUE(MID(G906,1,2)),Schwierigkeitsstufen!$G$7:$G$19,Schwierigkeitsstufen!$H$7:$H$19)))</f>
        <v/>
      </c>
      <c r="AB906" s="250" t="str">
        <f>IF((($A906="")*($B906=""))+((MID($Y906,1,4)&lt;&gt;"Wahl")*(Deckblatt!$C$14='WK-Vorlagen'!$C$82))+(Deckblatt!$C$14&lt;&gt;'WK-Vorlagen'!$C$82),"",IF(ISERROR(MATCH(VALUE(MID(H906,1,2)),Schwierigkeitsstufen!$G$7:$G$19,0)),"Gerät falsch",LOOKUP(VALUE(MID(H906,1,2)),Schwierigkeitsstufen!$G$7:$G$19,Schwierigkeitsstufen!$H$7:$H$19)))</f>
        <v/>
      </c>
      <c r="AC906" s="250" t="str">
        <f>IF((($A906="")*($B906=""))+((MID($Y906,1,4)&lt;&gt;"Wahl")*(Deckblatt!$C$14='WK-Vorlagen'!$C$82))+(Deckblatt!$C$14&lt;&gt;'WK-Vorlagen'!$C$82),"",IF(ISERROR(MATCH(VALUE(MID(I906,1,2)),Schwierigkeitsstufen!$G$7:$G$19,0)),"Gerät falsch",LOOKUP(VALUE(MID(I906,1,2)),Schwierigkeitsstufen!$G$7:$G$19,Schwierigkeitsstufen!$H$7:$H$19)))</f>
        <v/>
      </c>
      <c r="AD906" s="251" t="str">
        <f>IF((($A906="")*($B906=""))+((MID($Y906,1,4)&lt;&gt;"Wahl")*(Deckblatt!$C$14='WK-Vorlagen'!$C$82))+(Deckblatt!$C$14&lt;&gt;'WK-Vorlagen'!$C$82),"",IF(ISERROR(MATCH(VALUE(MID(J906,1,2)),Schwierigkeitsstufen!$G$7:$G$19,0)),"Gerät falsch",LOOKUP(VALUE(MID(J906,1,2)),Schwierigkeitsstufen!$G$7:$G$19,Schwierigkeitsstufen!$H$7:$H$19)))</f>
        <v/>
      </c>
      <c r="AE906" s="211"/>
      <c r="AG906" s="221" t="str">
        <f t="shared" si="126"/>
        <v/>
      </c>
      <c r="AH906" s="222" t="str">
        <f t="shared" si="128"/>
        <v/>
      </c>
      <c r="AI906" s="220">
        <f t="shared" si="133"/>
        <v>4</v>
      </c>
      <c r="AJ906" s="222">
        <f t="shared" si="129"/>
        <v>0</v>
      </c>
      <c r="AK906" s="299" t="str">
        <f>IF(ISERROR(LOOKUP(E906,WKNrListe,Übersicht!$R$7:$R$46)),"-",LOOKUP(E906,WKNrListe,Übersicht!$R$7:$R$46))</f>
        <v>-</v>
      </c>
      <c r="AL906" s="299" t="str">
        <f t="shared" si="132"/>
        <v>-</v>
      </c>
      <c r="AM906" s="303"/>
      <c r="AN906" s="174" t="str">
        <f t="shared" si="125"/>
        <v>Leer</v>
      </c>
    </row>
    <row r="907" spans="1:40" s="174" customFormat="1" ht="15" customHeight="1">
      <c r="A907" s="63"/>
      <c r="B907" s="63"/>
      <c r="C907" s="84"/>
      <c r="D907" s="85"/>
      <c r="E907" s="62"/>
      <c r="F907" s="62"/>
      <c r="G907" s="62"/>
      <c r="H907" s="62"/>
      <c r="I907" s="62"/>
      <c r="J907" s="62"/>
      <c r="K907" s="62"/>
      <c r="L907" s="62"/>
      <c r="M907" s="62"/>
      <c r="N907" s="62"/>
      <c r="O907" s="62"/>
      <c r="P907" s="62"/>
      <c r="Q907" s="62"/>
      <c r="R907" s="62"/>
      <c r="S907" s="258"/>
      <c r="T907" s="248" t="str">
        <f t="shared" si="130"/>
        <v/>
      </c>
      <c r="U907" s="249" t="str">
        <f t="shared" si="131"/>
        <v/>
      </c>
      <c r="V907" s="294" t="str">
        <f t="shared" si="127"/>
        <v/>
      </c>
      <c r="W907" s="294" t="str">
        <f>IF(((E907="")+(F907="")),"",IF(VLOOKUP(F907,Mannschaften!$A$1:$B$54,2,FALSE)&lt;&gt;E907,"Reiter Mannschaften füllen",""))</f>
        <v/>
      </c>
      <c r="X907" s="248" t="str">
        <f>IF(ISBLANK(C907),"",IF((U907&gt;(LOOKUP(E907,WKNrListe,Übersicht!$O$7:$O$46)))+(U907&lt;(LOOKUP(E907,WKNrListe,Übersicht!$P$7:$P$46))),"JG falsch",""))</f>
        <v/>
      </c>
      <c r="Y907" s="255" t="str">
        <f>IF((A907="")*(B907=""),"",IF(ISERROR(MATCH(E907,WKNrListe,0)),"WK falsch",LOOKUP(E907,WKNrListe,Übersicht!$B$7:$B$46)))</f>
        <v/>
      </c>
      <c r="Z907" s="269" t="str">
        <f>IF(((AJ907=0)*(AH907&lt;&gt;"")*(AK907="-"))+((AJ907&lt;&gt;0)*(AH907&lt;&gt;"")*(AK907="-")),IF(AG907="X",Übersicht!$C$70,Übersicht!$C$69),"-")</f>
        <v>-</v>
      </c>
      <c r="AA907" s="252" t="str">
        <f>IF((($A907="")*($B907=""))+((MID($Y907,1,4)&lt;&gt;"Wahl")*(Deckblatt!$C$14='WK-Vorlagen'!$C$82))+(Deckblatt!$C$14&lt;&gt;'WK-Vorlagen'!$C$82),"",IF(ISERROR(MATCH(VALUE(MID(G907,1,2)),Schwierigkeitsstufen!$G$7:$G$19,0)),"Gerät falsch",LOOKUP(VALUE(MID(G907,1,2)),Schwierigkeitsstufen!$G$7:$G$19,Schwierigkeitsstufen!$H$7:$H$19)))</f>
        <v/>
      </c>
      <c r="AB907" s="250" t="str">
        <f>IF((($A907="")*($B907=""))+((MID($Y907,1,4)&lt;&gt;"Wahl")*(Deckblatt!$C$14='WK-Vorlagen'!$C$82))+(Deckblatt!$C$14&lt;&gt;'WK-Vorlagen'!$C$82),"",IF(ISERROR(MATCH(VALUE(MID(H907,1,2)),Schwierigkeitsstufen!$G$7:$G$19,0)),"Gerät falsch",LOOKUP(VALUE(MID(H907,1,2)),Schwierigkeitsstufen!$G$7:$G$19,Schwierigkeitsstufen!$H$7:$H$19)))</f>
        <v/>
      </c>
      <c r="AC907" s="250" t="str">
        <f>IF((($A907="")*($B907=""))+((MID($Y907,1,4)&lt;&gt;"Wahl")*(Deckblatt!$C$14='WK-Vorlagen'!$C$82))+(Deckblatt!$C$14&lt;&gt;'WK-Vorlagen'!$C$82),"",IF(ISERROR(MATCH(VALUE(MID(I907,1,2)),Schwierigkeitsstufen!$G$7:$G$19,0)),"Gerät falsch",LOOKUP(VALUE(MID(I907,1,2)),Schwierigkeitsstufen!$G$7:$G$19,Schwierigkeitsstufen!$H$7:$H$19)))</f>
        <v/>
      </c>
      <c r="AD907" s="251" t="str">
        <f>IF((($A907="")*($B907=""))+((MID($Y907,1,4)&lt;&gt;"Wahl")*(Deckblatt!$C$14='WK-Vorlagen'!$C$82))+(Deckblatt!$C$14&lt;&gt;'WK-Vorlagen'!$C$82),"",IF(ISERROR(MATCH(VALUE(MID(J907,1,2)),Schwierigkeitsstufen!$G$7:$G$19,0)),"Gerät falsch",LOOKUP(VALUE(MID(J907,1,2)),Schwierigkeitsstufen!$G$7:$G$19,Schwierigkeitsstufen!$H$7:$H$19)))</f>
        <v/>
      </c>
      <c r="AE907" s="211"/>
      <c r="AG907" s="221" t="str">
        <f t="shared" si="126"/>
        <v/>
      </c>
      <c r="AH907" s="222" t="str">
        <f t="shared" si="128"/>
        <v/>
      </c>
      <c r="AI907" s="220">
        <f t="shared" si="133"/>
        <v>4</v>
      </c>
      <c r="AJ907" s="222">
        <f t="shared" si="129"/>
        <v>0</v>
      </c>
      <c r="AK907" s="299" t="str">
        <f>IF(ISERROR(LOOKUP(E907,WKNrListe,Übersicht!$R$7:$R$46)),"-",LOOKUP(E907,WKNrListe,Übersicht!$R$7:$R$46))</f>
        <v>-</v>
      </c>
      <c r="AL907" s="299" t="str">
        <f t="shared" si="132"/>
        <v>-</v>
      </c>
      <c r="AM907" s="303"/>
      <c r="AN907" s="174" t="str">
        <f t="shared" si="125"/>
        <v>Leer</v>
      </c>
    </row>
    <row r="908" spans="1:40" s="174" customFormat="1" ht="15" customHeight="1">
      <c r="A908" s="63"/>
      <c r="B908" s="63"/>
      <c r="C908" s="84"/>
      <c r="D908" s="85"/>
      <c r="E908" s="62"/>
      <c r="F908" s="62"/>
      <c r="G908" s="62"/>
      <c r="H908" s="62"/>
      <c r="I908" s="62"/>
      <c r="J908" s="62"/>
      <c r="K908" s="62"/>
      <c r="L908" s="62"/>
      <c r="M908" s="62"/>
      <c r="N908" s="62"/>
      <c r="O908" s="62"/>
      <c r="P908" s="62"/>
      <c r="Q908" s="62"/>
      <c r="R908" s="62"/>
      <c r="S908" s="258"/>
      <c r="T908" s="248" t="str">
        <f t="shared" si="130"/>
        <v/>
      </c>
      <c r="U908" s="249" t="str">
        <f t="shared" si="131"/>
        <v/>
      </c>
      <c r="V908" s="294" t="str">
        <f t="shared" si="127"/>
        <v/>
      </c>
      <c r="W908" s="294" t="str">
        <f>IF(((E908="")+(F908="")),"",IF(VLOOKUP(F908,Mannschaften!$A$1:$B$54,2,FALSE)&lt;&gt;E908,"Reiter Mannschaften füllen",""))</f>
        <v/>
      </c>
      <c r="X908" s="248" t="str">
        <f>IF(ISBLANK(C908),"",IF((U908&gt;(LOOKUP(E908,WKNrListe,Übersicht!$O$7:$O$46)))+(U908&lt;(LOOKUP(E908,WKNrListe,Übersicht!$P$7:$P$46))),"JG falsch",""))</f>
        <v/>
      </c>
      <c r="Y908" s="255" t="str">
        <f>IF((A908="")*(B908=""),"",IF(ISERROR(MATCH(E908,WKNrListe,0)),"WK falsch",LOOKUP(E908,WKNrListe,Übersicht!$B$7:$B$46)))</f>
        <v/>
      </c>
      <c r="Z908" s="269" t="str">
        <f>IF(((AJ908=0)*(AH908&lt;&gt;"")*(AK908="-"))+((AJ908&lt;&gt;0)*(AH908&lt;&gt;"")*(AK908="-")),IF(AG908="X",Übersicht!$C$70,Übersicht!$C$69),"-")</f>
        <v>-</v>
      </c>
      <c r="AA908" s="252" t="str">
        <f>IF((($A908="")*($B908=""))+((MID($Y908,1,4)&lt;&gt;"Wahl")*(Deckblatt!$C$14='WK-Vorlagen'!$C$82))+(Deckblatt!$C$14&lt;&gt;'WK-Vorlagen'!$C$82),"",IF(ISERROR(MATCH(VALUE(MID(G908,1,2)),Schwierigkeitsstufen!$G$7:$G$19,0)),"Gerät falsch",LOOKUP(VALUE(MID(G908,1,2)),Schwierigkeitsstufen!$G$7:$G$19,Schwierigkeitsstufen!$H$7:$H$19)))</f>
        <v/>
      </c>
      <c r="AB908" s="250" t="str">
        <f>IF((($A908="")*($B908=""))+((MID($Y908,1,4)&lt;&gt;"Wahl")*(Deckblatt!$C$14='WK-Vorlagen'!$C$82))+(Deckblatt!$C$14&lt;&gt;'WK-Vorlagen'!$C$82),"",IF(ISERROR(MATCH(VALUE(MID(H908,1,2)),Schwierigkeitsstufen!$G$7:$G$19,0)),"Gerät falsch",LOOKUP(VALUE(MID(H908,1,2)),Schwierigkeitsstufen!$G$7:$G$19,Schwierigkeitsstufen!$H$7:$H$19)))</f>
        <v/>
      </c>
      <c r="AC908" s="250" t="str">
        <f>IF((($A908="")*($B908=""))+((MID($Y908,1,4)&lt;&gt;"Wahl")*(Deckblatt!$C$14='WK-Vorlagen'!$C$82))+(Deckblatt!$C$14&lt;&gt;'WK-Vorlagen'!$C$82),"",IF(ISERROR(MATCH(VALUE(MID(I908,1,2)),Schwierigkeitsstufen!$G$7:$G$19,0)),"Gerät falsch",LOOKUP(VALUE(MID(I908,1,2)),Schwierigkeitsstufen!$G$7:$G$19,Schwierigkeitsstufen!$H$7:$H$19)))</f>
        <v/>
      </c>
      <c r="AD908" s="251" t="str">
        <f>IF((($A908="")*($B908=""))+((MID($Y908,1,4)&lt;&gt;"Wahl")*(Deckblatt!$C$14='WK-Vorlagen'!$C$82))+(Deckblatt!$C$14&lt;&gt;'WK-Vorlagen'!$C$82),"",IF(ISERROR(MATCH(VALUE(MID(J908,1,2)),Schwierigkeitsstufen!$G$7:$G$19,0)),"Gerät falsch",LOOKUP(VALUE(MID(J908,1,2)),Schwierigkeitsstufen!$G$7:$G$19,Schwierigkeitsstufen!$H$7:$H$19)))</f>
        <v/>
      </c>
      <c r="AE908" s="211"/>
      <c r="AG908" s="221" t="str">
        <f t="shared" si="126"/>
        <v/>
      </c>
      <c r="AH908" s="222" t="str">
        <f t="shared" si="128"/>
        <v/>
      </c>
      <c r="AI908" s="220">
        <f t="shared" si="133"/>
        <v>4</v>
      </c>
      <c r="AJ908" s="222">
        <f t="shared" si="129"/>
        <v>0</v>
      </c>
      <c r="AK908" s="299" t="str">
        <f>IF(ISERROR(LOOKUP(E908,WKNrListe,Übersicht!$R$7:$R$46)),"-",LOOKUP(E908,WKNrListe,Übersicht!$R$7:$R$46))</f>
        <v>-</v>
      </c>
      <c r="AL908" s="299" t="str">
        <f t="shared" si="132"/>
        <v>-</v>
      </c>
      <c r="AM908" s="303"/>
      <c r="AN908" s="174" t="str">
        <f t="shared" si="125"/>
        <v>Leer</v>
      </c>
    </row>
    <row r="909" spans="1:40" s="174" customFormat="1" ht="15" customHeight="1">
      <c r="A909" s="63"/>
      <c r="B909" s="63"/>
      <c r="C909" s="84"/>
      <c r="D909" s="85"/>
      <c r="E909" s="62"/>
      <c r="F909" s="62"/>
      <c r="G909" s="62"/>
      <c r="H909" s="62"/>
      <c r="I909" s="62"/>
      <c r="J909" s="62"/>
      <c r="K909" s="62"/>
      <c r="L909" s="62"/>
      <c r="M909" s="62"/>
      <c r="N909" s="62"/>
      <c r="O909" s="62"/>
      <c r="P909" s="62"/>
      <c r="Q909" s="62"/>
      <c r="R909" s="62"/>
      <c r="S909" s="258"/>
      <c r="T909" s="248" t="str">
        <f t="shared" si="130"/>
        <v/>
      </c>
      <c r="U909" s="249" t="str">
        <f t="shared" si="131"/>
        <v/>
      </c>
      <c r="V909" s="294" t="str">
        <f t="shared" si="127"/>
        <v/>
      </c>
      <c r="W909" s="294" t="str">
        <f>IF(((E909="")+(F909="")),"",IF(VLOOKUP(F909,Mannschaften!$A$1:$B$54,2,FALSE)&lt;&gt;E909,"Reiter Mannschaften füllen",""))</f>
        <v/>
      </c>
      <c r="X909" s="248" t="str">
        <f>IF(ISBLANK(C909),"",IF((U909&gt;(LOOKUP(E909,WKNrListe,Übersicht!$O$7:$O$46)))+(U909&lt;(LOOKUP(E909,WKNrListe,Übersicht!$P$7:$P$46))),"JG falsch",""))</f>
        <v/>
      </c>
      <c r="Y909" s="255" t="str">
        <f>IF((A909="")*(B909=""),"",IF(ISERROR(MATCH(E909,WKNrListe,0)),"WK falsch",LOOKUP(E909,WKNrListe,Übersicht!$B$7:$B$46)))</f>
        <v/>
      </c>
      <c r="Z909" s="269" t="str">
        <f>IF(((AJ909=0)*(AH909&lt;&gt;"")*(AK909="-"))+((AJ909&lt;&gt;0)*(AH909&lt;&gt;"")*(AK909="-")),IF(AG909="X",Übersicht!$C$70,Übersicht!$C$69),"-")</f>
        <v>-</v>
      </c>
      <c r="AA909" s="252" t="str">
        <f>IF((($A909="")*($B909=""))+((MID($Y909,1,4)&lt;&gt;"Wahl")*(Deckblatt!$C$14='WK-Vorlagen'!$C$82))+(Deckblatt!$C$14&lt;&gt;'WK-Vorlagen'!$C$82),"",IF(ISERROR(MATCH(VALUE(MID(G909,1,2)),Schwierigkeitsstufen!$G$7:$G$19,0)),"Gerät falsch",LOOKUP(VALUE(MID(G909,1,2)),Schwierigkeitsstufen!$G$7:$G$19,Schwierigkeitsstufen!$H$7:$H$19)))</f>
        <v/>
      </c>
      <c r="AB909" s="250" t="str">
        <f>IF((($A909="")*($B909=""))+((MID($Y909,1,4)&lt;&gt;"Wahl")*(Deckblatt!$C$14='WK-Vorlagen'!$C$82))+(Deckblatt!$C$14&lt;&gt;'WK-Vorlagen'!$C$82),"",IF(ISERROR(MATCH(VALUE(MID(H909,1,2)),Schwierigkeitsstufen!$G$7:$G$19,0)),"Gerät falsch",LOOKUP(VALUE(MID(H909,1,2)),Schwierigkeitsstufen!$G$7:$G$19,Schwierigkeitsstufen!$H$7:$H$19)))</f>
        <v/>
      </c>
      <c r="AC909" s="250" t="str">
        <f>IF((($A909="")*($B909=""))+((MID($Y909,1,4)&lt;&gt;"Wahl")*(Deckblatt!$C$14='WK-Vorlagen'!$C$82))+(Deckblatt!$C$14&lt;&gt;'WK-Vorlagen'!$C$82),"",IF(ISERROR(MATCH(VALUE(MID(I909,1,2)),Schwierigkeitsstufen!$G$7:$G$19,0)),"Gerät falsch",LOOKUP(VALUE(MID(I909,1,2)),Schwierigkeitsstufen!$G$7:$G$19,Schwierigkeitsstufen!$H$7:$H$19)))</f>
        <v/>
      </c>
      <c r="AD909" s="251" t="str">
        <f>IF((($A909="")*($B909=""))+((MID($Y909,1,4)&lt;&gt;"Wahl")*(Deckblatt!$C$14='WK-Vorlagen'!$C$82))+(Deckblatt!$C$14&lt;&gt;'WK-Vorlagen'!$C$82),"",IF(ISERROR(MATCH(VALUE(MID(J909,1,2)),Schwierigkeitsstufen!$G$7:$G$19,0)),"Gerät falsch",LOOKUP(VALUE(MID(J909,1,2)),Schwierigkeitsstufen!$G$7:$G$19,Schwierigkeitsstufen!$H$7:$H$19)))</f>
        <v/>
      </c>
      <c r="AE909" s="211"/>
      <c r="AG909" s="221" t="str">
        <f t="shared" si="126"/>
        <v/>
      </c>
      <c r="AH909" s="222" t="str">
        <f t="shared" si="128"/>
        <v/>
      </c>
      <c r="AI909" s="220">
        <f t="shared" si="133"/>
        <v>4</v>
      </c>
      <c r="AJ909" s="222">
        <f t="shared" si="129"/>
        <v>0</v>
      </c>
      <c r="AK909" s="299" t="str">
        <f>IF(ISERROR(LOOKUP(E909,WKNrListe,Übersicht!$R$7:$R$46)),"-",LOOKUP(E909,WKNrListe,Übersicht!$R$7:$R$46))</f>
        <v>-</v>
      </c>
      <c r="AL909" s="299" t="str">
        <f t="shared" si="132"/>
        <v>-</v>
      </c>
      <c r="AM909" s="303"/>
      <c r="AN909" s="174" t="str">
        <f t="shared" si="125"/>
        <v>Leer</v>
      </c>
    </row>
    <row r="910" spans="1:40" s="174" customFormat="1" ht="15" customHeight="1">
      <c r="A910" s="63"/>
      <c r="B910" s="63"/>
      <c r="C910" s="84"/>
      <c r="D910" s="85"/>
      <c r="E910" s="62"/>
      <c r="F910" s="62"/>
      <c r="G910" s="62"/>
      <c r="H910" s="62"/>
      <c r="I910" s="62"/>
      <c r="J910" s="62"/>
      <c r="K910" s="62"/>
      <c r="L910" s="62"/>
      <c r="M910" s="62"/>
      <c r="N910" s="62"/>
      <c r="O910" s="62"/>
      <c r="P910" s="62"/>
      <c r="Q910" s="62"/>
      <c r="R910" s="62"/>
      <c r="S910" s="258"/>
      <c r="T910" s="248" t="str">
        <f t="shared" si="130"/>
        <v/>
      </c>
      <c r="U910" s="249" t="str">
        <f t="shared" si="131"/>
        <v/>
      </c>
      <c r="V910" s="294" t="str">
        <f t="shared" si="127"/>
        <v/>
      </c>
      <c r="W910" s="294" t="str">
        <f>IF(((E910="")+(F910="")),"",IF(VLOOKUP(F910,Mannschaften!$A$1:$B$54,2,FALSE)&lt;&gt;E910,"Reiter Mannschaften füllen",""))</f>
        <v/>
      </c>
      <c r="X910" s="248" t="str">
        <f>IF(ISBLANK(C910),"",IF((U910&gt;(LOOKUP(E910,WKNrListe,Übersicht!$O$7:$O$46)))+(U910&lt;(LOOKUP(E910,WKNrListe,Übersicht!$P$7:$P$46))),"JG falsch",""))</f>
        <v/>
      </c>
      <c r="Y910" s="255" t="str">
        <f>IF((A910="")*(B910=""),"",IF(ISERROR(MATCH(E910,WKNrListe,0)),"WK falsch",LOOKUP(E910,WKNrListe,Übersicht!$B$7:$B$46)))</f>
        <v/>
      </c>
      <c r="Z910" s="269" t="str">
        <f>IF(((AJ910=0)*(AH910&lt;&gt;"")*(AK910="-"))+((AJ910&lt;&gt;0)*(AH910&lt;&gt;"")*(AK910="-")),IF(AG910="X",Übersicht!$C$70,Übersicht!$C$69),"-")</f>
        <v>-</v>
      </c>
      <c r="AA910" s="252" t="str">
        <f>IF((($A910="")*($B910=""))+((MID($Y910,1,4)&lt;&gt;"Wahl")*(Deckblatt!$C$14='WK-Vorlagen'!$C$82))+(Deckblatt!$C$14&lt;&gt;'WK-Vorlagen'!$C$82),"",IF(ISERROR(MATCH(VALUE(MID(G910,1,2)),Schwierigkeitsstufen!$G$7:$G$19,0)),"Gerät falsch",LOOKUP(VALUE(MID(G910,1,2)),Schwierigkeitsstufen!$G$7:$G$19,Schwierigkeitsstufen!$H$7:$H$19)))</f>
        <v/>
      </c>
      <c r="AB910" s="250" t="str">
        <f>IF((($A910="")*($B910=""))+((MID($Y910,1,4)&lt;&gt;"Wahl")*(Deckblatt!$C$14='WK-Vorlagen'!$C$82))+(Deckblatt!$C$14&lt;&gt;'WK-Vorlagen'!$C$82),"",IF(ISERROR(MATCH(VALUE(MID(H910,1,2)),Schwierigkeitsstufen!$G$7:$G$19,0)),"Gerät falsch",LOOKUP(VALUE(MID(H910,1,2)),Schwierigkeitsstufen!$G$7:$G$19,Schwierigkeitsstufen!$H$7:$H$19)))</f>
        <v/>
      </c>
      <c r="AC910" s="250" t="str">
        <f>IF((($A910="")*($B910=""))+((MID($Y910,1,4)&lt;&gt;"Wahl")*(Deckblatt!$C$14='WK-Vorlagen'!$C$82))+(Deckblatt!$C$14&lt;&gt;'WK-Vorlagen'!$C$82),"",IF(ISERROR(MATCH(VALUE(MID(I910,1,2)),Schwierigkeitsstufen!$G$7:$G$19,0)),"Gerät falsch",LOOKUP(VALUE(MID(I910,1,2)),Schwierigkeitsstufen!$G$7:$G$19,Schwierigkeitsstufen!$H$7:$H$19)))</f>
        <v/>
      </c>
      <c r="AD910" s="251" t="str">
        <f>IF((($A910="")*($B910=""))+((MID($Y910,1,4)&lt;&gt;"Wahl")*(Deckblatt!$C$14='WK-Vorlagen'!$C$82))+(Deckblatt!$C$14&lt;&gt;'WK-Vorlagen'!$C$82),"",IF(ISERROR(MATCH(VALUE(MID(J910,1,2)),Schwierigkeitsstufen!$G$7:$G$19,0)),"Gerät falsch",LOOKUP(VALUE(MID(J910,1,2)),Schwierigkeitsstufen!$G$7:$G$19,Schwierigkeitsstufen!$H$7:$H$19)))</f>
        <v/>
      </c>
      <c r="AE910" s="211"/>
      <c r="AG910" s="221" t="str">
        <f t="shared" si="126"/>
        <v/>
      </c>
      <c r="AH910" s="222" t="str">
        <f t="shared" si="128"/>
        <v/>
      </c>
      <c r="AI910" s="220">
        <f t="shared" si="133"/>
        <v>4</v>
      </c>
      <c r="AJ910" s="222">
        <f t="shared" si="129"/>
        <v>0</v>
      </c>
      <c r="AK910" s="299" t="str">
        <f>IF(ISERROR(LOOKUP(E910,WKNrListe,Übersicht!$R$7:$R$46)),"-",LOOKUP(E910,WKNrListe,Übersicht!$R$7:$R$46))</f>
        <v>-</v>
      </c>
      <c r="AL910" s="299" t="str">
        <f t="shared" si="132"/>
        <v>-</v>
      </c>
      <c r="AM910" s="303"/>
      <c r="AN910" s="174" t="str">
        <f t="shared" si="125"/>
        <v>Leer</v>
      </c>
    </row>
    <row r="911" spans="1:40" s="174" customFormat="1" ht="15" customHeight="1">
      <c r="A911" s="63"/>
      <c r="B911" s="63"/>
      <c r="C911" s="84"/>
      <c r="D911" s="85"/>
      <c r="E911" s="62"/>
      <c r="F911" s="62"/>
      <c r="G911" s="62"/>
      <c r="H911" s="62"/>
      <c r="I911" s="62"/>
      <c r="J911" s="62"/>
      <c r="K911" s="62"/>
      <c r="L911" s="62"/>
      <c r="M911" s="62"/>
      <c r="N911" s="62"/>
      <c r="O911" s="62"/>
      <c r="P911" s="62"/>
      <c r="Q911" s="62"/>
      <c r="R911" s="62"/>
      <c r="S911" s="258"/>
      <c r="T911" s="248" t="str">
        <f t="shared" si="130"/>
        <v/>
      </c>
      <c r="U911" s="249" t="str">
        <f t="shared" si="131"/>
        <v/>
      </c>
      <c r="V911" s="294" t="str">
        <f t="shared" si="127"/>
        <v/>
      </c>
      <c r="W911" s="294" t="str">
        <f>IF(((E911="")+(F911="")),"",IF(VLOOKUP(F911,Mannschaften!$A$1:$B$54,2,FALSE)&lt;&gt;E911,"Reiter Mannschaften füllen",""))</f>
        <v/>
      </c>
      <c r="X911" s="248" t="str">
        <f>IF(ISBLANK(C911),"",IF((U911&gt;(LOOKUP(E911,WKNrListe,Übersicht!$O$7:$O$46)))+(U911&lt;(LOOKUP(E911,WKNrListe,Übersicht!$P$7:$P$46))),"JG falsch",""))</f>
        <v/>
      </c>
      <c r="Y911" s="255" t="str">
        <f>IF((A911="")*(B911=""),"",IF(ISERROR(MATCH(E911,WKNrListe,0)),"WK falsch",LOOKUP(E911,WKNrListe,Übersicht!$B$7:$B$46)))</f>
        <v/>
      </c>
      <c r="Z911" s="269" t="str">
        <f>IF(((AJ911=0)*(AH911&lt;&gt;"")*(AK911="-"))+((AJ911&lt;&gt;0)*(AH911&lt;&gt;"")*(AK911="-")),IF(AG911="X",Übersicht!$C$70,Übersicht!$C$69),"-")</f>
        <v>-</v>
      </c>
      <c r="AA911" s="252" t="str">
        <f>IF((($A911="")*($B911=""))+((MID($Y911,1,4)&lt;&gt;"Wahl")*(Deckblatt!$C$14='WK-Vorlagen'!$C$82))+(Deckblatt!$C$14&lt;&gt;'WK-Vorlagen'!$C$82),"",IF(ISERROR(MATCH(VALUE(MID(G911,1,2)),Schwierigkeitsstufen!$G$7:$G$19,0)),"Gerät falsch",LOOKUP(VALUE(MID(G911,1,2)),Schwierigkeitsstufen!$G$7:$G$19,Schwierigkeitsstufen!$H$7:$H$19)))</f>
        <v/>
      </c>
      <c r="AB911" s="250" t="str">
        <f>IF((($A911="")*($B911=""))+((MID($Y911,1,4)&lt;&gt;"Wahl")*(Deckblatt!$C$14='WK-Vorlagen'!$C$82))+(Deckblatt!$C$14&lt;&gt;'WK-Vorlagen'!$C$82),"",IF(ISERROR(MATCH(VALUE(MID(H911,1,2)),Schwierigkeitsstufen!$G$7:$G$19,0)),"Gerät falsch",LOOKUP(VALUE(MID(H911,1,2)),Schwierigkeitsstufen!$G$7:$G$19,Schwierigkeitsstufen!$H$7:$H$19)))</f>
        <v/>
      </c>
      <c r="AC911" s="250" t="str">
        <f>IF((($A911="")*($B911=""))+((MID($Y911,1,4)&lt;&gt;"Wahl")*(Deckblatt!$C$14='WK-Vorlagen'!$C$82))+(Deckblatt!$C$14&lt;&gt;'WK-Vorlagen'!$C$82),"",IF(ISERROR(MATCH(VALUE(MID(I911,1,2)),Schwierigkeitsstufen!$G$7:$G$19,0)),"Gerät falsch",LOOKUP(VALUE(MID(I911,1,2)),Schwierigkeitsstufen!$G$7:$G$19,Schwierigkeitsstufen!$H$7:$H$19)))</f>
        <v/>
      </c>
      <c r="AD911" s="251" t="str">
        <f>IF((($A911="")*($B911=""))+((MID($Y911,1,4)&lt;&gt;"Wahl")*(Deckblatt!$C$14='WK-Vorlagen'!$C$82))+(Deckblatt!$C$14&lt;&gt;'WK-Vorlagen'!$C$82),"",IF(ISERROR(MATCH(VALUE(MID(J911,1,2)),Schwierigkeitsstufen!$G$7:$G$19,0)),"Gerät falsch",LOOKUP(VALUE(MID(J911,1,2)),Schwierigkeitsstufen!$G$7:$G$19,Schwierigkeitsstufen!$H$7:$H$19)))</f>
        <v/>
      </c>
      <c r="AE911" s="211"/>
      <c r="AG911" s="221" t="str">
        <f t="shared" si="126"/>
        <v/>
      </c>
      <c r="AH911" s="222" t="str">
        <f t="shared" si="128"/>
        <v/>
      </c>
      <c r="AI911" s="220">
        <f t="shared" si="133"/>
        <v>4</v>
      </c>
      <c r="AJ911" s="222">
        <f t="shared" si="129"/>
        <v>0</v>
      </c>
      <c r="AK911" s="299" t="str">
        <f>IF(ISERROR(LOOKUP(E911,WKNrListe,Übersicht!$R$7:$R$46)),"-",LOOKUP(E911,WKNrListe,Übersicht!$R$7:$R$46))</f>
        <v>-</v>
      </c>
      <c r="AL911" s="299" t="str">
        <f t="shared" si="132"/>
        <v>-</v>
      </c>
      <c r="AM911" s="303"/>
      <c r="AN911" s="174" t="str">
        <f t="shared" si="125"/>
        <v>Leer</v>
      </c>
    </row>
    <row r="912" spans="1:40" s="174" customFormat="1" ht="15" customHeight="1">
      <c r="A912" s="63"/>
      <c r="B912" s="63"/>
      <c r="C912" s="84"/>
      <c r="D912" s="85"/>
      <c r="E912" s="62"/>
      <c r="F912" s="62"/>
      <c r="G912" s="62"/>
      <c r="H912" s="62"/>
      <c r="I912" s="62"/>
      <c r="J912" s="62"/>
      <c r="K912" s="62"/>
      <c r="L912" s="62"/>
      <c r="M912" s="62"/>
      <c r="N912" s="62"/>
      <c r="O912" s="62"/>
      <c r="P912" s="62"/>
      <c r="Q912" s="62"/>
      <c r="R912" s="62"/>
      <c r="S912" s="258"/>
      <c r="T912" s="248" t="str">
        <f t="shared" si="130"/>
        <v/>
      </c>
      <c r="U912" s="249" t="str">
        <f t="shared" si="131"/>
        <v/>
      </c>
      <c r="V912" s="294" t="str">
        <f t="shared" si="127"/>
        <v/>
      </c>
      <c r="W912" s="294" t="str">
        <f>IF(((E912="")+(F912="")),"",IF(VLOOKUP(F912,Mannschaften!$A$1:$B$54,2,FALSE)&lt;&gt;E912,"Reiter Mannschaften füllen",""))</f>
        <v/>
      </c>
      <c r="X912" s="248" t="str">
        <f>IF(ISBLANK(C912),"",IF((U912&gt;(LOOKUP(E912,WKNrListe,Übersicht!$O$7:$O$46)))+(U912&lt;(LOOKUP(E912,WKNrListe,Übersicht!$P$7:$P$46))),"JG falsch",""))</f>
        <v/>
      </c>
      <c r="Y912" s="255" t="str">
        <f>IF((A912="")*(B912=""),"",IF(ISERROR(MATCH(E912,WKNrListe,0)),"WK falsch",LOOKUP(E912,WKNrListe,Übersicht!$B$7:$B$46)))</f>
        <v/>
      </c>
      <c r="Z912" s="269" t="str">
        <f>IF(((AJ912=0)*(AH912&lt;&gt;"")*(AK912="-"))+((AJ912&lt;&gt;0)*(AH912&lt;&gt;"")*(AK912="-")),IF(AG912="X",Übersicht!$C$70,Übersicht!$C$69),"-")</f>
        <v>-</v>
      </c>
      <c r="AA912" s="252" t="str">
        <f>IF((($A912="")*($B912=""))+((MID($Y912,1,4)&lt;&gt;"Wahl")*(Deckblatt!$C$14='WK-Vorlagen'!$C$82))+(Deckblatt!$C$14&lt;&gt;'WK-Vorlagen'!$C$82),"",IF(ISERROR(MATCH(VALUE(MID(G912,1,2)),Schwierigkeitsstufen!$G$7:$G$19,0)),"Gerät falsch",LOOKUP(VALUE(MID(G912,1,2)),Schwierigkeitsstufen!$G$7:$G$19,Schwierigkeitsstufen!$H$7:$H$19)))</f>
        <v/>
      </c>
      <c r="AB912" s="250" t="str">
        <f>IF((($A912="")*($B912=""))+((MID($Y912,1,4)&lt;&gt;"Wahl")*(Deckblatt!$C$14='WK-Vorlagen'!$C$82))+(Deckblatt!$C$14&lt;&gt;'WK-Vorlagen'!$C$82),"",IF(ISERROR(MATCH(VALUE(MID(H912,1,2)),Schwierigkeitsstufen!$G$7:$G$19,0)),"Gerät falsch",LOOKUP(VALUE(MID(H912,1,2)),Schwierigkeitsstufen!$G$7:$G$19,Schwierigkeitsstufen!$H$7:$H$19)))</f>
        <v/>
      </c>
      <c r="AC912" s="250" t="str">
        <f>IF((($A912="")*($B912=""))+((MID($Y912,1,4)&lt;&gt;"Wahl")*(Deckblatt!$C$14='WK-Vorlagen'!$C$82))+(Deckblatt!$C$14&lt;&gt;'WK-Vorlagen'!$C$82),"",IF(ISERROR(MATCH(VALUE(MID(I912,1,2)),Schwierigkeitsstufen!$G$7:$G$19,0)),"Gerät falsch",LOOKUP(VALUE(MID(I912,1,2)),Schwierigkeitsstufen!$G$7:$G$19,Schwierigkeitsstufen!$H$7:$H$19)))</f>
        <v/>
      </c>
      <c r="AD912" s="251" t="str">
        <f>IF((($A912="")*($B912=""))+((MID($Y912,1,4)&lt;&gt;"Wahl")*(Deckblatt!$C$14='WK-Vorlagen'!$C$82))+(Deckblatt!$C$14&lt;&gt;'WK-Vorlagen'!$C$82),"",IF(ISERROR(MATCH(VALUE(MID(J912,1,2)),Schwierigkeitsstufen!$G$7:$G$19,0)),"Gerät falsch",LOOKUP(VALUE(MID(J912,1,2)),Schwierigkeitsstufen!$G$7:$G$19,Schwierigkeitsstufen!$H$7:$H$19)))</f>
        <v/>
      </c>
      <c r="AE912" s="211"/>
      <c r="AG912" s="221" t="str">
        <f t="shared" si="126"/>
        <v/>
      </c>
      <c r="AH912" s="222" t="str">
        <f t="shared" si="128"/>
        <v/>
      </c>
      <c r="AI912" s="220">
        <f t="shared" si="133"/>
        <v>4</v>
      </c>
      <c r="AJ912" s="222">
        <f t="shared" si="129"/>
        <v>0</v>
      </c>
      <c r="AK912" s="299" t="str">
        <f>IF(ISERROR(LOOKUP(E912,WKNrListe,Übersicht!$R$7:$R$46)),"-",LOOKUP(E912,WKNrListe,Übersicht!$R$7:$R$46))</f>
        <v>-</v>
      </c>
      <c r="AL912" s="299" t="str">
        <f t="shared" si="132"/>
        <v>-</v>
      </c>
      <c r="AM912" s="303"/>
      <c r="AN912" s="174" t="str">
        <f t="shared" si="125"/>
        <v>Leer</v>
      </c>
    </row>
    <row r="913" spans="1:40" s="174" customFormat="1" ht="15" customHeight="1">
      <c r="A913" s="63"/>
      <c r="B913" s="63"/>
      <c r="C913" s="84"/>
      <c r="D913" s="85"/>
      <c r="E913" s="62"/>
      <c r="F913" s="62"/>
      <c r="G913" s="62"/>
      <c r="H913" s="62"/>
      <c r="I913" s="62"/>
      <c r="J913" s="62"/>
      <c r="K913" s="62"/>
      <c r="L913" s="62"/>
      <c r="M913" s="62"/>
      <c r="N913" s="62"/>
      <c r="O913" s="62"/>
      <c r="P913" s="62"/>
      <c r="Q913" s="62"/>
      <c r="R913" s="62"/>
      <c r="S913" s="258"/>
      <c r="T913" s="248" t="str">
        <f t="shared" si="130"/>
        <v/>
      </c>
      <c r="U913" s="249" t="str">
        <f t="shared" si="131"/>
        <v/>
      </c>
      <c r="V913" s="294" t="str">
        <f t="shared" si="127"/>
        <v/>
      </c>
      <c r="W913" s="294" t="str">
        <f>IF(((E913="")+(F913="")),"",IF(VLOOKUP(F913,Mannschaften!$A$1:$B$54,2,FALSE)&lt;&gt;E913,"Reiter Mannschaften füllen",""))</f>
        <v/>
      </c>
      <c r="X913" s="248" t="str">
        <f>IF(ISBLANK(C913),"",IF((U913&gt;(LOOKUP(E913,WKNrListe,Übersicht!$O$7:$O$46)))+(U913&lt;(LOOKUP(E913,WKNrListe,Übersicht!$P$7:$P$46))),"JG falsch",""))</f>
        <v/>
      </c>
      <c r="Y913" s="255" t="str">
        <f>IF((A913="")*(B913=""),"",IF(ISERROR(MATCH(E913,WKNrListe,0)),"WK falsch",LOOKUP(E913,WKNrListe,Übersicht!$B$7:$B$46)))</f>
        <v/>
      </c>
      <c r="Z913" s="269" t="str">
        <f>IF(((AJ913=0)*(AH913&lt;&gt;"")*(AK913="-"))+((AJ913&lt;&gt;0)*(AH913&lt;&gt;"")*(AK913="-")),IF(AG913="X",Übersicht!$C$70,Übersicht!$C$69),"-")</f>
        <v>-</v>
      </c>
      <c r="AA913" s="252" t="str">
        <f>IF((($A913="")*($B913=""))+((MID($Y913,1,4)&lt;&gt;"Wahl")*(Deckblatt!$C$14='WK-Vorlagen'!$C$82))+(Deckblatt!$C$14&lt;&gt;'WK-Vorlagen'!$C$82),"",IF(ISERROR(MATCH(VALUE(MID(G913,1,2)),Schwierigkeitsstufen!$G$7:$G$19,0)),"Gerät falsch",LOOKUP(VALUE(MID(G913,1,2)),Schwierigkeitsstufen!$G$7:$G$19,Schwierigkeitsstufen!$H$7:$H$19)))</f>
        <v/>
      </c>
      <c r="AB913" s="250" t="str">
        <f>IF((($A913="")*($B913=""))+((MID($Y913,1,4)&lt;&gt;"Wahl")*(Deckblatt!$C$14='WK-Vorlagen'!$C$82))+(Deckblatt!$C$14&lt;&gt;'WK-Vorlagen'!$C$82),"",IF(ISERROR(MATCH(VALUE(MID(H913,1,2)),Schwierigkeitsstufen!$G$7:$G$19,0)),"Gerät falsch",LOOKUP(VALUE(MID(H913,1,2)),Schwierigkeitsstufen!$G$7:$G$19,Schwierigkeitsstufen!$H$7:$H$19)))</f>
        <v/>
      </c>
      <c r="AC913" s="250" t="str">
        <f>IF((($A913="")*($B913=""))+((MID($Y913,1,4)&lt;&gt;"Wahl")*(Deckblatt!$C$14='WK-Vorlagen'!$C$82))+(Deckblatt!$C$14&lt;&gt;'WK-Vorlagen'!$C$82),"",IF(ISERROR(MATCH(VALUE(MID(I913,1,2)),Schwierigkeitsstufen!$G$7:$G$19,0)),"Gerät falsch",LOOKUP(VALUE(MID(I913,1,2)),Schwierigkeitsstufen!$G$7:$G$19,Schwierigkeitsstufen!$H$7:$H$19)))</f>
        <v/>
      </c>
      <c r="AD913" s="251" t="str">
        <f>IF((($A913="")*($B913=""))+((MID($Y913,1,4)&lt;&gt;"Wahl")*(Deckblatt!$C$14='WK-Vorlagen'!$C$82))+(Deckblatt!$C$14&lt;&gt;'WK-Vorlagen'!$C$82),"",IF(ISERROR(MATCH(VALUE(MID(J913,1,2)),Schwierigkeitsstufen!$G$7:$G$19,0)),"Gerät falsch",LOOKUP(VALUE(MID(J913,1,2)),Schwierigkeitsstufen!$G$7:$G$19,Schwierigkeitsstufen!$H$7:$H$19)))</f>
        <v/>
      </c>
      <c r="AE913" s="211"/>
      <c r="AG913" s="221" t="str">
        <f t="shared" si="126"/>
        <v/>
      </c>
      <c r="AH913" s="222" t="str">
        <f t="shared" si="128"/>
        <v/>
      </c>
      <c r="AI913" s="220">
        <f t="shared" si="133"/>
        <v>4</v>
      </c>
      <c r="AJ913" s="222">
        <f t="shared" si="129"/>
        <v>0</v>
      </c>
      <c r="AK913" s="299" t="str">
        <f>IF(ISERROR(LOOKUP(E913,WKNrListe,Übersicht!$R$7:$R$46)),"-",LOOKUP(E913,WKNrListe,Übersicht!$R$7:$R$46))</f>
        <v>-</v>
      </c>
      <c r="AL913" s="299" t="str">
        <f t="shared" si="132"/>
        <v>-</v>
      </c>
      <c r="AM913" s="303"/>
      <c r="AN913" s="174" t="str">
        <f t="shared" si="125"/>
        <v>Leer</v>
      </c>
    </row>
    <row r="914" spans="1:40" s="174" customFormat="1" ht="15" customHeight="1">
      <c r="A914" s="63"/>
      <c r="B914" s="63"/>
      <c r="C914" s="84"/>
      <c r="D914" s="85"/>
      <c r="E914" s="62"/>
      <c r="F914" s="62"/>
      <c r="G914" s="62"/>
      <c r="H914" s="62"/>
      <c r="I914" s="62"/>
      <c r="J914" s="62"/>
      <c r="K914" s="62"/>
      <c r="L914" s="62"/>
      <c r="M914" s="62"/>
      <c r="N914" s="62"/>
      <c r="O914" s="62"/>
      <c r="P914" s="62"/>
      <c r="Q914" s="62"/>
      <c r="R914" s="62"/>
      <c r="S914" s="258"/>
      <c r="T914" s="248" t="str">
        <f t="shared" si="130"/>
        <v/>
      </c>
      <c r="U914" s="249" t="str">
        <f t="shared" si="131"/>
        <v/>
      </c>
      <c r="V914" s="294" t="str">
        <f t="shared" si="127"/>
        <v/>
      </c>
      <c r="W914" s="294" t="str">
        <f>IF(((E914="")+(F914="")),"",IF(VLOOKUP(F914,Mannschaften!$A$1:$B$54,2,FALSE)&lt;&gt;E914,"Reiter Mannschaften füllen",""))</f>
        <v/>
      </c>
      <c r="X914" s="248" t="str">
        <f>IF(ISBLANK(C914),"",IF((U914&gt;(LOOKUP(E914,WKNrListe,Übersicht!$O$7:$O$46)))+(U914&lt;(LOOKUP(E914,WKNrListe,Übersicht!$P$7:$P$46))),"JG falsch",""))</f>
        <v/>
      </c>
      <c r="Y914" s="255" t="str">
        <f>IF((A914="")*(B914=""),"",IF(ISERROR(MATCH(E914,WKNrListe,0)),"WK falsch",LOOKUP(E914,WKNrListe,Übersicht!$B$7:$B$46)))</f>
        <v/>
      </c>
      <c r="Z914" s="269" t="str">
        <f>IF(((AJ914=0)*(AH914&lt;&gt;"")*(AK914="-"))+((AJ914&lt;&gt;0)*(AH914&lt;&gt;"")*(AK914="-")),IF(AG914="X",Übersicht!$C$70,Übersicht!$C$69),"-")</f>
        <v>-</v>
      </c>
      <c r="AA914" s="252" t="str">
        <f>IF((($A914="")*($B914=""))+((MID($Y914,1,4)&lt;&gt;"Wahl")*(Deckblatt!$C$14='WK-Vorlagen'!$C$82))+(Deckblatt!$C$14&lt;&gt;'WK-Vorlagen'!$C$82),"",IF(ISERROR(MATCH(VALUE(MID(G914,1,2)),Schwierigkeitsstufen!$G$7:$G$19,0)),"Gerät falsch",LOOKUP(VALUE(MID(G914,1,2)),Schwierigkeitsstufen!$G$7:$G$19,Schwierigkeitsstufen!$H$7:$H$19)))</f>
        <v/>
      </c>
      <c r="AB914" s="250" t="str">
        <f>IF((($A914="")*($B914=""))+((MID($Y914,1,4)&lt;&gt;"Wahl")*(Deckblatt!$C$14='WK-Vorlagen'!$C$82))+(Deckblatt!$C$14&lt;&gt;'WK-Vorlagen'!$C$82),"",IF(ISERROR(MATCH(VALUE(MID(H914,1,2)),Schwierigkeitsstufen!$G$7:$G$19,0)),"Gerät falsch",LOOKUP(VALUE(MID(H914,1,2)),Schwierigkeitsstufen!$G$7:$G$19,Schwierigkeitsstufen!$H$7:$H$19)))</f>
        <v/>
      </c>
      <c r="AC914" s="250" t="str">
        <f>IF((($A914="")*($B914=""))+((MID($Y914,1,4)&lt;&gt;"Wahl")*(Deckblatt!$C$14='WK-Vorlagen'!$C$82))+(Deckblatt!$C$14&lt;&gt;'WK-Vorlagen'!$C$82),"",IF(ISERROR(MATCH(VALUE(MID(I914,1,2)),Schwierigkeitsstufen!$G$7:$G$19,0)),"Gerät falsch",LOOKUP(VALUE(MID(I914,1,2)),Schwierigkeitsstufen!$G$7:$G$19,Schwierigkeitsstufen!$H$7:$H$19)))</f>
        <v/>
      </c>
      <c r="AD914" s="251" t="str">
        <f>IF((($A914="")*($B914=""))+((MID($Y914,1,4)&lt;&gt;"Wahl")*(Deckblatt!$C$14='WK-Vorlagen'!$C$82))+(Deckblatt!$C$14&lt;&gt;'WK-Vorlagen'!$C$82),"",IF(ISERROR(MATCH(VALUE(MID(J914,1,2)),Schwierigkeitsstufen!$G$7:$G$19,0)),"Gerät falsch",LOOKUP(VALUE(MID(J914,1,2)),Schwierigkeitsstufen!$G$7:$G$19,Schwierigkeitsstufen!$H$7:$H$19)))</f>
        <v/>
      </c>
      <c r="AE914" s="211"/>
      <c r="AG914" s="221" t="str">
        <f t="shared" si="126"/>
        <v/>
      </c>
      <c r="AH914" s="222" t="str">
        <f t="shared" si="128"/>
        <v/>
      </c>
      <c r="AI914" s="220">
        <f t="shared" si="133"/>
        <v>4</v>
      </c>
      <c r="AJ914" s="222">
        <f t="shared" si="129"/>
        <v>0</v>
      </c>
      <c r="AK914" s="299" t="str">
        <f>IF(ISERROR(LOOKUP(E914,WKNrListe,Übersicht!$R$7:$R$46)),"-",LOOKUP(E914,WKNrListe,Übersicht!$R$7:$R$46))</f>
        <v>-</v>
      </c>
      <c r="AL914" s="299" t="str">
        <f t="shared" si="132"/>
        <v>-</v>
      </c>
      <c r="AM914" s="303"/>
      <c r="AN914" s="174" t="str">
        <f t="shared" si="125"/>
        <v>Leer</v>
      </c>
    </row>
    <row r="915" spans="1:40" s="174" customFormat="1" ht="15" customHeight="1">
      <c r="A915" s="63"/>
      <c r="B915" s="63"/>
      <c r="C915" s="84"/>
      <c r="D915" s="85"/>
      <c r="E915" s="62"/>
      <c r="F915" s="62"/>
      <c r="G915" s="62"/>
      <c r="H915" s="62"/>
      <c r="I915" s="62"/>
      <c r="J915" s="62"/>
      <c r="K915" s="62"/>
      <c r="L915" s="62"/>
      <c r="M915" s="62"/>
      <c r="N915" s="62"/>
      <c r="O915" s="62"/>
      <c r="P915" s="62"/>
      <c r="Q915" s="62"/>
      <c r="R915" s="62"/>
      <c r="S915" s="258"/>
      <c r="T915" s="248" t="str">
        <f t="shared" si="130"/>
        <v/>
      </c>
      <c r="U915" s="249" t="str">
        <f t="shared" si="131"/>
        <v/>
      </c>
      <c r="V915" s="294" t="str">
        <f t="shared" si="127"/>
        <v/>
      </c>
      <c r="W915" s="294" t="str">
        <f>IF(((E915="")+(F915="")),"",IF(VLOOKUP(F915,Mannschaften!$A$1:$B$54,2,FALSE)&lt;&gt;E915,"Reiter Mannschaften füllen",""))</f>
        <v/>
      </c>
      <c r="X915" s="248" t="str">
        <f>IF(ISBLANK(C915),"",IF((U915&gt;(LOOKUP(E915,WKNrListe,Übersicht!$O$7:$O$46)))+(U915&lt;(LOOKUP(E915,WKNrListe,Übersicht!$P$7:$P$46))),"JG falsch",""))</f>
        <v/>
      </c>
      <c r="Y915" s="255" t="str">
        <f>IF((A915="")*(B915=""),"",IF(ISERROR(MATCH(E915,WKNrListe,0)),"WK falsch",LOOKUP(E915,WKNrListe,Übersicht!$B$7:$B$46)))</f>
        <v/>
      </c>
      <c r="Z915" s="269" t="str">
        <f>IF(((AJ915=0)*(AH915&lt;&gt;"")*(AK915="-"))+((AJ915&lt;&gt;0)*(AH915&lt;&gt;"")*(AK915="-")),IF(AG915="X",Übersicht!$C$70,Übersicht!$C$69),"-")</f>
        <v>-</v>
      </c>
      <c r="AA915" s="252" t="str">
        <f>IF((($A915="")*($B915=""))+((MID($Y915,1,4)&lt;&gt;"Wahl")*(Deckblatt!$C$14='WK-Vorlagen'!$C$82))+(Deckblatt!$C$14&lt;&gt;'WK-Vorlagen'!$C$82),"",IF(ISERROR(MATCH(VALUE(MID(G915,1,2)),Schwierigkeitsstufen!$G$7:$G$19,0)),"Gerät falsch",LOOKUP(VALUE(MID(G915,1,2)),Schwierigkeitsstufen!$G$7:$G$19,Schwierigkeitsstufen!$H$7:$H$19)))</f>
        <v/>
      </c>
      <c r="AB915" s="250" t="str">
        <f>IF((($A915="")*($B915=""))+((MID($Y915,1,4)&lt;&gt;"Wahl")*(Deckblatt!$C$14='WK-Vorlagen'!$C$82))+(Deckblatt!$C$14&lt;&gt;'WK-Vorlagen'!$C$82),"",IF(ISERROR(MATCH(VALUE(MID(H915,1,2)),Schwierigkeitsstufen!$G$7:$G$19,0)),"Gerät falsch",LOOKUP(VALUE(MID(H915,1,2)),Schwierigkeitsstufen!$G$7:$G$19,Schwierigkeitsstufen!$H$7:$H$19)))</f>
        <v/>
      </c>
      <c r="AC915" s="250" t="str">
        <f>IF((($A915="")*($B915=""))+((MID($Y915,1,4)&lt;&gt;"Wahl")*(Deckblatt!$C$14='WK-Vorlagen'!$C$82))+(Deckblatt!$C$14&lt;&gt;'WK-Vorlagen'!$C$82),"",IF(ISERROR(MATCH(VALUE(MID(I915,1,2)),Schwierigkeitsstufen!$G$7:$G$19,0)),"Gerät falsch",LOOKUP(VALUE(MID(I915,1,2)),Schwierigkeitsstufen!$G$7:$G$19,Schwierigkeitsstufen!$H$7:$H$19)))</f>
        <v/>
      </c>
      <c r="AD915" s="251" t="str">
        <f>IF((($A915="")*($B915=""))+((MID($Y915,1,4)&lt;&gt;"Wahl")*(Deckblatt!$C$14='WK-Vorlagen'!$C$82))+(Deckblatt!$C$14&lt;&gt;'WK-Vorlagen'!$C$82),"",IF(ISERROR(MATCH(VALUE(MID(J915,1,2)),Schwierigkeitsstufen!$G$7:$G$19,0)),"Gerät falsch",LOOKUP(VALUE(MID(J915,1,2)),Schwierigkeitsstufen!$G$7:$G$19,Schwierigkeitsstufen!$H$7:$H$19)))</f>
        <v/>
      </c>
      <c r="AE915" s="211"/>
      <c r="AG915" s="221" t="str">
        <f t="shared" si="126"/>
        <v/>
      </c>
      <c r="AH915" s="222" t="str">
        <f t="shared" si="128"/>
        <v/>
      </c>
      <c r="AI915" s="220">
        <f t="shared" si="133"/>
        <v>4</v>
      </c>
      <c r="AJ915" s="222">
        <f t="shared" si="129"/>
        <v>0</v>
      </c>
      <c r="AK915" s="299" t="str">
        <f>IF(ISERROR(LOOKUP(E915,WKNrListe,Übersicht!$R$7:$R$46)),"-",LOOKUP(E915,WKNrListe,Übersicht!$R$7:$R$46))</f>
        <v>-</v>
      </c>
      <c r="AL915" s="299" t="str">
        <f t="shared" si="132"/>
        <v>-</v>
      </c>
      <c r="AM915" s="303"/>
      <c r="AN915" s="174" t="str">
        <f t="shared" si="125"/>
        <v>Leer</v>
      </c>
    </row>
    <row r="916" spans="1:40" s="174" customFormat="1" ht="15" customHeight="1">
      <c r="A916" s="63"/>
      <c r="B916" s="63"/>
      <c r="C916" s="84"/>
      <c r="D916" s="85"/>
      <c r="E916" s="62"/>
      <c r="F916" s="62"/>
      <c r="G916" s="62"/>
      <c r="H916" s="62"/>
      <c r="I916" s="62"/>
      <c r="J916" s="62"/>
      <c r="K916" s="62"/>
      <c r="L916" s="62"/>
      <c r="M916" s="62"/>
      <c r="N916" s="62"/>
      <c r="O916" s="62"/>
      <c r="P916" s="62"/>
      <c r="Q916" s="62"/>
      <c r="R916" s="62"/>
      <c r="S916" s="258"/>
      <c r="T916" s="248" t="str">
        <f t="shared" si="130"/>
        <v/>
      </c>
      <c r="U916" s="249" t="str">
        <f t="shared" si="131"/>
        <v/>
      </c>
      <c r="V916" s="294" t="str">
        <f t="shared" si="127"/>
        <v/>
      </c>
      <c r="W916" s="294" t="str">
        <f>IF(((E916="")+(F916="")),"",IF(VLOOKUP(F916,Mannschaften!$A$1:$B$54,2,FALSE)&lt;&gt;E916,"Reiter Mannschaften füllen",""))</f>
        <v/>
      </c>
      <c r="X916" s="248" t="str">
        <f>IF(ISBLANK(C916),"",IF((U916&gt;(LOOKUP(E916,WKNrListe,Übersicht!$O$7:$O$46)))+(U916&lt;(LOOKUP(E916,WKNrListe,Übersicht!$P$7:$P$46))),"JG falsch",""))</f>
        <v/>
      </c>
      <c r="Y916" s="255" t="str">
        <f>IF((A916="")*(B916=""),"",IF(ISERROR(MATCH(E916,WKNrListe,0)),"WK falsch",LOOKUP(E916,WKNrListe,Übersicht!$B$7:$B$46)))</f>
        <v/>
      </c>
      <c r="Z916" s="269" t="str">
        <f>IF(((AJ916=0)*(AH916&lt;&gt;"")*(AK916="-"))+((AJ916&lt;&gt;0)*(AH916&lt;&gt;"")*(AK916="-")),IF(AG916="X",Übersicht!$C$70,Übersicht!$C$69),"-")</f>
        <v>-</v>
      </c>
      <c r="AA916" s="252" t="str">
        <f>IF((($A916="")*($B916=""))+((MID($Y916,1,4)&lt;&gt;"Wahl")*(Deckblatt!$C$14='WK-Vorlagen'!$C$82))+(Deckblatt!$C$14&lt;&gt;'WK-Vorlagen'!$C$82),"",IF(ISERROR(MATCH(VALUE(MID(G916,1,2)),Schwierigkeitsstufen!$G$7:$G$19,0)),"Gerät falsch",LOOKUP(VALUE(MID(G916,1,2)),Schwierigkeitsstufen!$G$7:$G$19,Schwierigkeitsstufen!$H$7:$H$19)))</f>
        <v/>
      </c>
      <c r="AB916" s="250" t="str">
        <f>IF((($A916="")*($B916=""))+((MID($Y916,1,4)&lt;&gt;"Wahl")*(Deckblatt!$C$14='WK-Vorlagen'!$C$82))+(Deckblatt!$C$14&lt;&gt;'WK-Vorlagen'!$C$82),"",IF(ISERROR(MATCH(VALUE(MID(H916,1,2)),Schwierigkeitsstufen!$G$7:$G$19,0)),"Gerät falsch",LOOKUP(VALUE(MID(H916,1,2)),Schwierigkeitsstufen!$G$7:$G$19,Schwierigkeitsstufen!$H$7:$H$19)))</f>
        <v/>
      </c>
      <c r="AC916" s="250" t="str">
        <f>IF((($A916="")*($B916=""))+((MID($Y916,1,4)&lt;&gt;"Wahl")*(Deckblatt!$C$14='WK-Vorlagen'!$C$82))+(Deckblatt!$C$14&lt;&gt;'WK-Vorlagen'!$C$82),"",IF(ISERROR(MATCH(VALUE(MID(I916,1,2)),Schwierigkeitsstufen!$G$7:$G$19,0)),"Gerät falsch",LOOKUP(VALUE(MID(I916,1,2)),Schwierigkeitsstufen!$G$7:$G$19,Schwierigkeitsstufen!$H$7:$H$19)))</f>
        <v/>
      </c>
      <c r="AD916" s="251" t="str">
        <f>IF((($A916="")*($B916=""))+((MID($Y916,1,4)&lt;&gt;"Wahl")*(Deckblatt!$C$14='WK-Vorlagen'!$C$82))+(Deckblatt!$C$14&lt;&gt;'WK-Vorlagen'!$C$82),"",IF(ISERROR(MATCH(VALUE(MID(J916,1,2)),Schwierigkeitsstufen!$G$7:$G$19,0)),"Gerät falsch",LOOKUP(VALUE(MID(J916,1,2)),Schwierigkeitsstufen!$G$7:$G$19,Schwierigkeitsstufen!$H$7:$H$19)))</f>
        <v/>
      </c>
      <c r="AE916" s="211"/>
      <c r="AG916" s="221" t="str">
        <f t="shared" si="126"/>
        <v/>
      </c>
      <c r="AH916" s="222" t="str">
        <f t="shared" si="128"/>
        <v/>
      </c>
      <c r="AI916" s="220">
        <f t="shared" si="133"/>
        <v>4</v>
      </c>
      <c r="AJ916" s="222">
        <f t="shared" si="129"/>
        <v>0</v>
      </c>
      <c r="AK916" s="299" t="str">
        <f>IF(ISERROR(LOOKUP(E916,WKNrListe,Übersicht!$R$7:$R$46)),"-",LOOKUP(E916,WKNrListe,Übersicht!$R$7:$R$46))</f>
        <v>-</v>
      </c>
      <c r="AL916" s="299" t="str">
        <f t="shared" si="132"/>
        <v>-</v>
      </c>
      <c r="AM916" s="303"/>
      <c r="AN916" s="174" t="str">
        <f t="shared" si="125"/>
        <v>Leer</v>
      </c>
    </row>
    <row r="917" spans="1:40" s="174" customFormat="1" ht="15" customHeight="1">
      <c r="A917" s="63"/>
      <c r="B917" s="63"/>
      <c r="C917" s="84"/>
      <c r="D917" s="85"/>
      <c r="E917" s="62"/>
      <c r="F917" s="62"/>
      <c r="G917" s="62"/>
      <c r="H917" s="62"/>
      <c r="I917" s="62"/>
      <c r="J917" s="62"/>
      <c r="K917" s="62"/>
      <c r="L917" s="62"/>
      <c r="M917" s="62"/>
      <c r="N917" s="62"/>
      <c r="O917" s="62"/>
      <c r="P917" s="62"/>
      <c r="Q917" s="62"/>
      <c r="R917" s="62"/>
      <c r="S917" s="258"/>
      <c r="T917" s="248" t="str">
        <f t="shared" si="130"/>
        <v/>
      </c>
      <c r="U917" s="249" t="str">
        <f t="shared" si="131"/>
        <v/>
      </c>
      <c r="V917" s="294" t="str">
        <f t="shared" si="127"/>
        <v/>
      </c>
      <c r="W917" s="294" t="str">
        <f>IF(((E917="")+(F917="")),"",IF(VLOOKUP(F917,Mannschaften!$A$1:$B$54,2,FALSE)&lt;&gt;E917,"Reiter Mannschaften füllen",""))</f>
        <v/>
      </c>
      <c r="X917" s="248" t="str">
        <f>IF(ISBLANK(C917),"",IF((U917&gt;(LOOKUP(E917,WKNrListe,Übersicht!$O$7:$O$46)))+(U917&lt;(LOOKUP(E917,WKNrListe,Übersicht!$P$7:$P$46))),"JG falsch",""))</f>
        <v/>
      </c>
      <c r="Y917" s="255" t="str">
        <f>IF((A917="")*(B917=""),"",IF(ISERROR(MATCH(E917,WKNrListe,0)),"WK falsch",LOOKUP(E917,WKNrListe,Übersicht!$B$7:$B$46)))</f>
        <v/>
      </c>
      <c r="Z917" s="269" t="str">
        <f>IF(((AJ917=0)*(AH917&lt;&gt;"")*(AK917="-"))+((AJ917&lt;&gt;0)*(AH917&lt;&gt;"")*(AK917="-")),IF(AG917="X",Übersicht!$C$70,Übersicht!$C$69),"-")</f>
        <v>-</v>
      </c>
      <c r="AA917" s="252" t="str">
        <f>IF((($A917="")*($B917=""))+((MID($Y917,1,4)&lt;&gt;"Wahl")*(Deckblatt!$C$14='WK-Vorlagen'!$C$82))+(Deckblatt!$C$14&lt;&gt;'WK-Vorlagen'!$C$82),"",IF(ISERROR(MATCH(VALUE(MID(G917,1,2)),Schwierigkeitsstufen!$G$7:$G$19,0)),"Gerät falsch",LOOKUP(VALUE(MID(G917,1,2)),Schwierigkeitsstufen!$G$7:$G$19,Schwierigkeitsstufen!$H$7:$H$19)))</f>
        <v/>
      </c>
      <c r="AB917" s="250" t="str">
        <f>IF((($A917="")*($B917=""))+((MID($Y917,1,4)&lt;&gt;"Wahl")*(Deckblatt!$C$14='WK-Vorlagen'!$C$82))+(Deckblatt!$C$14&lt;&gt;'WK-Vorlagen'!$C$82),"",IF(ISERROR(MATCH(VALUE(MID(H917,1,2)),Schwierigkeitsstufen!$G$7:$G$19,0)),"Gerät falsch",LOOKUP(VALUE(MID(H917,1,2)),Schwierigkeitsstufen!$G$7:$G$19,Schwierigkeitsstufen!$H$7:$H$19)))</f>
        <v/>
      </c>
      <c r="AC917" s="250" t="str">
        <f>IF((($A917="")*($B917=""))+((MID($Y917,1,4)&lt;&gt;"Wahl")*(Deckblatt!$C$14='WK-Vorlagen'!$C$82))+(Deckblatt!$C$14&lt;&gt;'WK-Vorlagen'!$C$82),"",IF(ISERROR(MATCH(VALUE(MID(I917,1,2)),Schwierigkeitsstufen!$G$7:$G$19,0)),"Gerät falsch",LOOKUP(VALUE(MID(I917,1,2)),Schwierigkeitsstufen!$G$7:$G$19,Schwierigkeitsstufen!$H$7:$H$19)))</f>
        <v/>
      </c>
      <c r="AD917" s="251" t="str">
        <f>IF((($A917="")*($B917=""))+((MID($Y917,1,4)&lt;&gt;"Wahl")*(Deckblatt!$C$14='WK-Vorlagen'!$C$82))+(Deckblatt!$C$14&lt;&gt;'WK-Vorlagen'!$C$82),"",IF(ISERROR(MATCH(VALUE(MID(J917,1,2)),Schwierigkeitsstufen!$G$7:$G$19,0)),"Gerät falsch",LOOKUP(VALUE(MID(J917,1,2)),Schwierigkeitsstufen!$G$7:$G$19,Schwierigkeitsstufen!$H$7:$H$19)))</f>
        <v/>
      </c>
      <c r="AE917" s="211"/>
      <c r="AG917" s="221" t="str">
        <f t="shared" si="126"/>
        <v/>
      </c>
      <c r="AH917" s="222" t="str">
        <f t="shared" si="128"/>
        <v/>
      </c>
      <c r="AI917" s="220">
        <f t="shared" si="133"/>
        <v>4</v>
      </c>
      <c r="AJ917" s="222">
        <f t="shared" si="129"/>
        <v>0</v>
      </c>
      <c r="AK917" s="299" t="str">
        <f>IF(ISERROR(LOOKUP(E917,WKNrListe,Übersicht!$R$7:$R$46)),"-",LOOKUP(E917,WKNrListe,Übersicht!$R$7:$R$46))</f>
        <v>-</v>
      </c>
      <c r="AL917" s="299" t="str">
        <f t="shared" si="132"/>
        <v>-</v>
      </c>
      <c r="AM917" s="303"/>
      <c r="AN917" s="174" t="str">
        <f t="shared" si="125"/>
        <v>Leer</v>
      </c>
    </row>
    <row r="918" spans="1:40" s="174" customFormat="1" ht="15" customHeight="1">
      <c r="A918" s="63"/>
      <c r="B918" s="63"/>
      <c r="C918" s="84"/>
      <c r="D918" s="85"/>
      <c r="E918" s="62"/>
      <c r="F918" s="62"/>
      <c r="G918" s="62"/>
      <c r="H918" s="62"/>
      <c r="I918" s="62"/>
      <c r="J918" s="62"/>
      <c r="K918" s="62"/>
      <c r="L918" s="62"/>
      <c r="M918" s="62"/>
      <c r="N918" s="62"/>
      <c r="O918" s="62"/>
      <c r="P918" s="62"/>
      <c r="Q918" s="62"/>
      <c r="R918" s="62"/>
      <c r="S918" s="258"/>
      <c r="T918" s="248" t="str">
        <f t="shared" si="130"/>
        <v/>
      </c>
      <c r="U918" s="249" t="str">
        <f t="shared" si="131"/>
        <v/>
      </c>
      <c r="V918" s="294" t="str">
        <f t="shared" si="127"/>
        <v/>
      </c>
      <c r="W918" s="294" t="str">
        <f>IF(((E918="")+(F918="")),"",IF(VLOOKUP(F918,Mannschaften!$A$1:$B$54,2,FALSE)&lt;&gt;E918,"Reiter Mannschaften füllen",""))</f>
        <v/>
      </c>
      <c r="X918" s="248" t="str">
        <f>IF(ISBLANK(C918),"",IF((U918&gt;(LOOKUP(E918,WKNrListe,Übersicht!$O$7:$O$46)))+(U918&lt;(LOOKUP(E918,WKNrListe,Übersicht!$P$7:$P$46))),"JG falsch",""))</f>
        <v/>
      </c>
      <c r="Y918" s="255" t="str">
        <f>IF((A918="")*(B918=""),"",IF(ISERROR(MATCH(E918,WKNrListe,0)),"WK falsch",LOOKUP(E918,WKNrListe,Übersicht!$B$7:$B$46)))</f>
        <v/>
      </c>
      <c r="Z918" s="269" t="str">
        <f>IF(((AJ918=0)*(AH918&lt;&gt;"")*(AK918="-"))+((AJ918&lt;&gt;0)*(AH918&lt;&gt;"")*(AK918="-")),IF(AG918="X",Übersicht!$C$70,Übersicht!$C$69),"-")</f>
        <v>-</v>
      </c>
      <c r="AA918" s="252" t="str">
        <f>IF((($A918="")*($B918=""))+((MID($Y918,1,4)&lt;&gt;"Wahl")*(Deckblatt!$C$14='WK-Vorlagen'!$C$82))+(Deckblatt!$C$14&lt;&gt;'WK-Vorlagen'!$C$82),"",IF(ISERROR(MATCH(VALUE(MID(G918,1,2)),Schwierigkeitsstufen!$G$7:$G$19,0)),"Gerät falsch",LOOKUP(VALUE(MID(G918,1,2)),Schwierigkeitsstufen!$G$7:$G$19,Schwierigkeitsstufen!$H$7:$H$19)))</f>
        <v/>
      </c>
      <c r="AB918" s="250" t="str">
        <f>IF((($A918="")*($B918=""))+((MID($Y918,1,4)&lt;&gt;"Wahl")*(Deckblatt!$C$14='WK-Vorlagen'!$C$82))+(Deckblatt!$C$14&lt;&gt;'WK-Vorlagen'!$C$82),"",IF(ISERROR(MATCH(VALUE(MID(H918,1,2)),Schwierigkeitsstufen!$G$7:$G$19,0)),"Gerät falsch",LOOKUP(VALUE(MID(H918,1,2)),Schwierigkeitsstufen!$G$7:$G$19,Schwierigkeitsstufen!$H$7:$H$19)))</f>
        <v/>
      </c>
      <c r="AC918" s="250" t="str">
        <f>IF((($A918="")*($B918=""))+((MID($Y918,1,4)&lt;&gt;"Wahl")*(Deckblatt!$C$14='WK-Vorlagen'!$C$82))+(Deckblatt!$C$14&lt;&gt;'WK-Vorlagen'!$C$82),"",IF(ISERROR(MATCH(VALUE(MID(I918,1,2)),Schwierigkeitsstufen!$G$7:$G$19,0)),"Gerät falsch",LOOKUP(VALUE(MID(I918,1,2)),Schwierigkeitsstufen!$G$7:$G$19,Schwierigkeitsstufen!$H$7:$H$19)))</f>
        <v/>
      </c>
      <c r="AD918" s="251" t="str">
        <f>IF((($A918="")*($B918=""))+((MID($Y918,1,4)&lt;&gt;"Wahl")*(Deckblatt!$C$14='WK-Vorlagen'!$C$82))+(Deckblatt!$C$14&lt;&gt;'WK-Vorlagen'!$C$82),"",IF(ISERROR(MATCH(VALUE(MID(J918,1,2)),Schwierigkeitsstufen!$G$7:$G$19,0)),"Gerät falsch",LOOKUP(VALUE(MID(J918,1,2)),Schwierigkeitsstufen!$G$7:$G$19,Schwierigkeitsstufen!$H$7:$H$19)))</f>
        <v/>
      </c>
      <c r="AE918" s="211"/>
      <c r="AG918" s="221" t="str">
        <f t="shared" si="126"/>
        <v/>
      </c>
      <c r="AH918" s="222" t="str">
        <f t="shared" si="128"/>
        <v/>
      </c>
      <c r="AI918" s="220">
        <f t="shared" si="133"/>
        <v>4</v>
      </c>
      <c r="AJ918" s="222">
        <f t="shared" si="129"/>
        <v>0</v>
      </c>
      <c r="AK918" s="299" t="str">
        <f>IF(ISERROR(LOOKUP(E918,WKNrListe,Übersicht!$R$7:$R$46)),"-",LOOKUP(E918,WKNrListe,Übersicht!$R$7:$R$46))</f>
        <v>-</v>
      </c>
      <c r="AL918" s="299" t="str">
        <f t="shared" si="132"/>
        <v>-</v>
      </c>
      <c r="AM918" s="303"/>
      <c r="AN918" s="174" t="str">
        <f t="shared" si="125"/>
        <v>Leer</v>
      </c>
    </row>
    <row r="919" spans="1:40" s="174" customFormat="1" ht="15" customHeight="1">
      <c r="A919" s="63"/>
      <c r="B919" s="63"/>
      <c r="C919" s="84"/>
      <c r="D919" s="85"/>
      <c r="E919" s="62"/>
      <c r="F919" s="62"/>
      <c r="G919" s="62"/>
      <c r="H919" s="62"/>
      <c r="I919" s="62"/>
      <c r="J919" s="62"/>
      <c r="K919" s="62"/>
      <c r="L919" s="62"/>
      <c r="M919" s="62"/>
      <c r="N919" s="62"/>
      <c r="O919" s="62"/>
      <c r="P919" s="62"/>
      <c r="Q919" s="62"/>
      <c r="R919" s="62"/>
      <c r="S919" s="258"/>
      <c r="T919" s="248" t="str">
        <f t="shared" si="130"/>
        <v/>
      </c>
      <c r="U919" s="249" t="str">
        <f t="shared" si="131"/>
        <v/>
      </c>
      <c r="V919" s="294" t="str">
        <f t="shared" si="127"/>
        <v/>
      </c>
      <c r="W919" s="294" t="str">
        <f>IF(((E919="")+(F919="")),"",IF(VLOOKUP(F919,Mannschaften!$A$1:$B$54,2,FALSE)&lt;&gt;E919,"Reiter Mannschaften füllen",""))</f>
        <v/>
      </c>
      <c r="X919" s="248" t="str">
        <f>IF(ISBLANK(C919),"",IF((U919&gt;(LOOKUP(E919,WKNrListe,Übersicht!$O$7:$O$46)))+(U919&lt;(LOOKUP(E919,WKNrListe,Übersicht!$P$7:$P$46))),"JG falsch",""))</f>
        <v/>
      </c>
      <c r="Y919" s="255" t="str">
        <f>IF((A919="")*(B919=""),"",IF(ISERROR(MATCH(E919,WKNrListe,0)),"WK falsch",LOOKUP(E919,WKNrListe,Übersicht!$B$7:$B$46)))</f>
        <v/>
      </c>
      <c r="Z919" s="269" t="str">
        <f>IF(((AJ919=0)*(AH919&lt;&gt;"")*(AK919="-"))+((AJ919&lt;&gt;0)*(AH919&lt;&gt;"")*(AK919="-")),IF(AG919="X",Übersicht!$C$70,Übersicht!$C$69),"-")</f>
        <v>-</v>
      </c>
      <c r="AA919" s="252" t="str">
        <f>IF((($A919="")*($B919=""))+((MID($Y919,1,4)&lt;&gt;"Wahl")*(Deckblatt!$C$14='WK-Vorlagen'!$C$82))+(Deckblatt!$C$14&lt;&gt;'WK-Vorlagen'!$C$82),"",IF(ISERROR(MATCH(VALUE(MID(G919,1,2)),Schwierigkeitsstufen!$G$7:$G$19,0)),"Gerät falsch",LOOKUP(VALUE(MID(G919,1,2)),Schwierigkeitsstufen!$G$7:$G$19,Schwierigkeitsstufen!$H$7:$H$19)))</f>
        <v/>
      </c>
      <c r="AB919" s="250" t="str">
        <f>IF((($A919="")*($B919=""))+((MID($Y919,1,4)&lt;&gt;"Wahl")*(Deckblatt!$C$14='WK-Vorlagen'!$C$82))+(Deckblatt!$C$14&lt;&gt;'WK-Vorlagen'!$C$82),"",IF(ISERROR(MATCH(VALUE(MID(H919,1,2)),Schwierigkeitsstufen!$G$7:$G$19,0)),"Gerät falsch",LOOKUP(VALUE(MID(H919,1,2)),Schwierigkeitsstufen!$G$7:$G$19,Schwierigkeitsstufen!$H$7:$H$19)))</f>
        <v/>
      </c>
      <c r="AC919" s="250" t="str">
        <f>IF((($A919="")*($B919=""))+((MID($Y919,1,4)&lt;&gt;"Wahl")*(Deckblatt!$C$14='WK-Vorlagen'!$C$82))+(Deckblatt!$C$14&lt;&gt;'WK-Vorlagen'!$C$82),"",IF(ISERROR(MATCH(VALUE(MID(I919,1,2)),Schwierigkeitsstufen!$G$7:$G$19,0)),"Gerät falsch",LOOKUP(VALUE(MID(I919,1,2)),Schwierigkeitsstufen!$G$7:$G$19,Schwierigkeitsstufen!$H$7:$H$19)))</f>
        <v/>
      </c>
      <c r="AD919" s="251" t="str">
        <f>IF((($A919="")*($B919=""))+((MID($Y919,1,4)&lt;&gt;"Wahl")*(Deckblatt!$C$14='WK-Vorlagen'!$C$82))+(Deckblatt!$C$14&lt;&gt;'WK-Vorlagen'!$C$82),"",IF(ISERROR(MATCH(VALUE(MID(J919,1,2)),Schwierigkeitsstufen!$G$7:$G$19,0)),"Gerät falsch",LOOKUP(VALUE(MID(J919,1,2)),Schwierigkeitsstufen!$G$7:$G$19,Schwierigkeitsstufen!$H$7:$H$19)))</f>
        <v/>
      </c>
      <c r="AE919" s="211"/>
      <c r="AG919" s="221" t="str">
        <f t="shared" si="126"/>
        <v/>
      </c>
      <c r="AH919" s="222" t="str">
        <f t="shared" si="128"/>
        <v/>
      </c>
      <c r="AI919" s="220">
        <f t="shared" si="133"/>
        <v>4</v>
      </c>
      <c r="AJ919" s="222">
        <f t="shared" si="129"/>
        <v>0</v>
      </c>
      <c r="AK919" s="299" t="str">
        <f>IF(ISERROR(LOOKUP(E919,WKNrListe,Übersicht!$R$7:$R$46)),"-",LOOKUP(E919,WKNrListe,Übersicht!$R$7:$R$46))</f>
        <v>-</v>
      </c>
      <c r="AL919" s="299" t="str">
        <f t="shared" si="132"/>
        <v>-</v>
      </c>
      <c r="AM919" s="303"/>
      <c r="AN919" s="174" t="str">
        <f t="shared" si="125"/>
        <v>Leer</v>
      </c>
    </row>
    <row r="920" spans="1:40" s="174" customFormat="1" ht="15" customHeight="1">
      <c r="A920" s="63"/>
      <c r="B920" s="63"/>
      <c r="C920" s="84"/>
      <c r="D920" s="85"/>
      <c r="E920" s="62"/>
      <c r="F920" s="62"/>
      <c r="G920" s="62"/>
      <c r="H920" s="62"/>
      <c r="I920" s="62"/>
      <c r="J920" s="62"/>
      <c r="K920" s="62"/>
      <c r="L920" s="62"/>
      <c r="M920" s="62"/>
      <c r="N920" s="62"/>
      <c r="O920" s="62"/>
      <c r="P920" s="62"/>
      <c r="Q920" s="62"/>
      <c r="R920" s="62"/>
      <c r="S920" s="258"/>
      <c r="T920" s="248" t="str">
        <f t="shared" si="130"/>
        <v/>
      </c>
      <c r="U920" s="249" t="str">
        <f t="shared" si="131"/>
        <v/>
      </c>
      <c r="V920" s="294" t="str">
        <f t="shared" si="127"/>
        <v/>
      </c>
      <c r="W920" s="294" t="str">
        <f>IF(((E920="")+(F920="")),"",IF(VLOOKUP(F920,Mannschaften!$A$1:$B$54,2,FALSE)&lt;&gt;E920,"Reiter Mannschaften füllen",""))</f>
        <v/>
      </c>
      <c r="X920" s="248" t="str">
        <f>IF(ISBLANK(C920),"",IF((U920&gt;(LOOKUP(E920,WKNrListe,Übersicht!$O$7:$O$46)))+(U920&lt;(LOOKUP(E920,WKNrListe,Übersicht!$P$7:$P$46))),"JG falsch",""))</f>
        <v/>
      </c>
      <c r="Y920" s="255" t="str">
        <f>IF((A920="")*(B920=""),"",IF(ISERROR(MATCH(E920,WKNrListe,0)),"WK falsch",LOOKUP(E920,WKNrListe,Übersicht!$B$7:$B$46)))</f>
        <v/>
      </c>
      <c r="Z920" s="269" t="str">
        <f>IF(((AJ920=0)*(AH920&lt;&gt;"")*(AK920="-"))+((AJ920&lt;&gt;0)*(AH920&lt;&gt;"")*(AK920="-")),IF(AG920="X",Übersicht!$C$70,Übersicht!$C$69),"-")</f>
        <v>-</v>
      </c>
      <c r="AA920" s="252" t="str">
        <f>IF((($A920="")*($B920=""))+((MID($Y920,1,4)&lt;&gt;"Wahl")*(Deckblatt!$C$14='WK-Vorlagen'!$C$82))+(Deckblatt!$C$14&lt;&gt;'WK-Vorlagen'!$C$82),"",IF(ISERROR(MATCH(VALUE(MID(G920,1,2)),Schwierigkeitsstufen!$G$7:$G$19,0)),"Gerät falsch",LOOKUP(VALUE(MID(G920,1,2)),Schwierigkeitsstufen!$G$7:$G$19,Schwierigkeitsstufen!$H$7:$H$19)))</f>
        <v/>
      </c>
      <c r="AB920" s="250" t="str">
        <f>IF((($A920="")*($B920=""))+((MID($Y920,1,4)&lt;&gt;"Wahl")*(Deckblatt!$C$14='WK-Vorlagen'!$C$82))+(Deckblatt!$C$14&lt;&gt;'WK-Vorlagen'!$C$82),"",IF(ISERROR(MATCH(VALUE(MID(H920,1,2)),Schwierigkeitsstufen!$G$7:$G$19,0)),"Gerät falsch",LOOKUP(VALUE(MID(H920,1,2)),Schwierigkeitsstufen!$G$7:$G$19,Schwierigkeitsstufen!$H$7:$H$19)))</f>
        <v/>
      </c>
      <c r="AC920" s="250" t="str">
        <f>IF((($A920="")*($B920=""))+((MID($Y920,1,4)&lt;&gt;"Wahl")*(Deckblatt!$C$14='WK-Vorlagen'!$C$82))+(Deckblatt!$C$14&lt;&gt;'WK-Vorlagen'!$C$82),"",IF(ISERROR(MATCH(VALUE(MID(I920,1,2)),Schwierigkeitsstufen!$G$7:$G$19,0)),"Gerät falsch",LOOKUP(VALUE(MID(I920,1,2)),Schwierigkeitsstufen!$G$7:$G$19,Schwierigkeitsstufen!$H$7:$H$19)))</f>
        <v/>
      </c>
      <c r="AD920" s="251" t="str">
        <f>IF((($A920="")*($B920=""))+((MID($Y920,1,4)&lt;&gt;"Wahl")*(Deckblatt!$C$14='WK-Vorlagen'!$C$82))+(Deckblatt!$C$14&lt;&gt;'WK-Vorlagen'!$C$82),"",IF(ISERROR(MATCH(VALUE(MID(J920,1,2)),Schwierigkeitsstufen!$G$7:$G$19,0)),"Gerät falsch",LOOKUP(VALUE(MID(J920,1,2)),Schwierigkeitsstufen!$G$7:$G$19,Schwierigkeitsstufen!$H$7:$H$19)))</f>
        <v/>
      </c>
      <c r="AE920" s="211"/>
      <c r="AG920" s="221" t="str">
        <f t="shared" si="126"/>
        <v/>
      </c>
      <c r="AH920" s="222" t="str">
        <f t="shared" si="128"/>
        <v/>
      </c>
      <c r="AI920" s="220">
        <f t="shared" si="133"/>
        <v>4</v>
      </c>
      <c r="AJ920" s="222">
        <f t="shared" si="129"/>
        <v>0</v>
      </c>
      <c r="AK920" s="299" t="str">
        <f>IF(ISERROR(LOOKUP(E920,WKNrListe,Übersicht!$R$7:$R$46)),"-",LOOKUP(E920,WKNrListe,Übersicht!$R$7:$R$46))</f>
        <v>-</v>
      </c>
      <c r="AL920" s="299" t="str">
        <f t="shared" si="132"/>
        <v>-</v>
      </c>
      <c r="AM920" s="303"/>
      <c r="AN920" s="174" t="str">
        <f t="shared" si="125"/>
        <v>Leer</v>
      </c>
    </row>
    <row r="921" spans="1:40" s="174" customFormat="1" ht="15" customHeight="1">
      <c r="A921" s="63"/>
      <c r="B921" s="63"/>
      <c r="C921" s="84"/>
      <c r="D921" s="85"/>
      <c r="E921" s="62"/>
      <c r="F921" s="62"/>
      <c r="G921" s="62"/>
      <c r="H921" s="62"/>
      <c r="I921" s="62"/>
      <c r="J921" s="62"/>
      <c r="K921" s="62"/>
      <c r="L921" s="62"/>
      <c r="M921" s="62"/>
      <c r="N921" s="62"/>
      <c r="O921" s="62"/>
      <c r="P921" s="62"/>
      <c r="Q921" s="62"/>
      <c r="R921" s="62"/>
      <c r="S921" s="258"/>
      <c r="T921" s="248" t="str">
        <f t="shared" si="130"/>
        <v/>
      </c>
      <c r="U921" s="249" t="str">
        <f t="shared" si="131"/>
        <v/>
      </c>
      <c r="V921" s="294" t="str">
        <f t="shared" si="127"/>
        <v/>
      </c>
      <c r="W921" s="294" t="str">
        <f>IF(((E921="")+(F921="")),"",IF(VLOOKUP(F921,Mannschaften!$A$1:$B$54,2,FALSE)&lt;&gt;E921,"Reiter Mannschaften füllen",""))</f>
        <v/>
      </c>
      <c r="X921" s="248" t="str">
        <f>IF(ISBLANK(C921),"",IF((U921&gt;(LOOKUP(E921,WKNrListe,Übersicht!$O$7:$O$46)))+(U921&lt;(LOOKUP(E921,WKNrListe,Übersicht!$P$7:$P$46))),"JG falsch",""))</f>
        <v/>
      </c>
      <c r="Y921" s="255" t="str">
        <f>IF((A921="")*(B921=""),"",IF(ISERROR(MATCH(E921,WKNrListe,0)),"WK falsch",LOOKUP(E921,WKNrListe,Übersicht!$B$7:$B$46)))</f>
        <v/>
      </c>
      <c r="Z921" s="269" t="str">
        <f>IF(((AJ921=0)*(AH921&lt;&gt;"")*(AK921="-"))+((AJ921&lt;&gt;0)*(AH921&lt;&gt;"")*(AK921="-")),IF(AG921="X",Übersicht!$C$70,Übersicht!$C$69),"-")</f>
        <v>-</v>
      </c>
      <c r="AA921" s="252" t="str">
        <f>IF((($A921="")*($B921=""))+((MID($Y921,1,4)&lt;&gt;"Wahl")*(Deckblatt!$C$14='WK-Vorlagen'!$C$82))+(Deckblatt!$C$14&lt;&gt;'WK-Vorlagen'!$C$82),"",IF(ISERROR(MATCH(VALUE(MID(G921,1,2)),Schwierigkeitsstufen!$G$7:$G$19,0)),"Gerät falsch",LOOKUP(VALUE(MID(G921,1,2)),Schwierigkeitsstufen!$G$7:$G$19,Schwierigkeitsstufen!$H$7:$H$19)))</f>
        <v/>
      </c>
      <c r="AB921" s="250" t="str">
        <f>IF((($A921="")*($B921=""))+((MID($Y921,1,4)&lt;&gt;"Wahl")*(Deckblatt!$C$14='WK-Vorlagen'!$C$82))+(Deckblatt!$C$14&lt;&gt;'WK-Vorlagen'!$C$82),"",IF(ISERROR(MATCH(VALUE(MID(H921,1,2)),Schwierigkeitsstufen!$G$7:$G$19,0)),"Gerät falsch",LOOKUP(VALUE(MID(H921,1,2)),Schwierigkeitsstufen!$G$7:$G$19,Schwierigkeitsstufen!$H$7:$H$19)))</f>
        <v/>
      </c>
      <c r="AC921" s="250" t="str">
        <f>IF((($A921="")*($B921=""))+((MID($Y921,1,4)&lt;&gt;"Wahl")*(Deckblatt!$C$14='WK-Vorlagen'!$C$82))+(Deckblatt!$C$14&lt;&gt;'WK-Vorlagen'!$C$82),"",IF(ISERROR(MATCH(VALUE(MID(I921,1,2)),Schwierigkeitsstufen!$G$7:$G$19,0)),"Gerät falsch",LOOKUP(VALUE(MID(I921,1,2)),Schwierigkeitsstufen!$G$7:$G$19,Schwierigkeitsstufen!$H$7:$H$19)))</f>
        <v/>
      </c>
      <c r="AD921" s="251" t="str">
        <f>IF((($A921="")*($B921=""))+((MID($Y921,1,4)&lt;&gt;"Wahl")*(Deckblatt!$C$14='WK-Vorlagen'!$C$82))+(Deckblatt!$C$14&lt;&gt;'WK-Vorlagen'!$C$82),"",IF(ISERROR(MATCH(VALUE(MID(J921,1,2)),Schwierigkeitsstufen!$G$7:$G$19,0)),"Gerät falsch",LOOKUP(VALUE(MID(J921,1,2)),Schwierigkeitsstufen!$G$7:$G$19,Schwierigkeitsstufen!$H$7:$H$19)))</f>
        <v/>
      </c>
      <c r="AE921" s="211"/>
      <c r="AG921" s="221" t="str">
        <f t="shared" si="126"/>
        <v/>
      </c>
      <c r="AH921" s="222" t="str">
        <f t="shared" si="128"/>
        <v/>
      </c>
      <c r="AI921" s="220">
        <f t="shared" si="133"/>
        <v>4</v>
      </c>
      <c r="AJ921" s="222">
        <f t="shared" si="129"/>
        <v>0</v>
      </c>
      <c r="AK921" s="299" t="str">
        <f>IF(ISERROR(LOOKUP(E921,WKNrListe,Übersicht!$R$7:$R$46)),"-",LOOKUP(E921,WKNrListe,Übersicht!$R$7:$R$46))</f>
        <v>-</v>
      </c>
      <c r="AL921" s="299" t="str">
        <f t="shared" si="132"/>
        <v>-</v>
      </c>
      <c r="AM921" s="303"/>
      <c r="AN921" s="174" t="str">
        <f t="shared" si="125"/>
        <v>Leer</v>
      </c>
    </row>
    <row r="922" spans="1:40" s="174" customFormat="1" ht="15" customHeight="1">
      <c r="A922" s="63"/>
      <c r="B922" s="63"/>
      <c r="C922" s="84"/>
      <c r="D922" s="85"/>
      <c r="E922" s="62"/>
      <c r="F922" s="62"/>
      <c r="G922" s="62"/>
      <c r="H922" s="62"/>
      <c r="I922" s="62"/>
      <c r="J922" s="62"/>
      <c r="K922" s="62"/>
      <c r="L922" s="62"/>
      <c r="M922" s="62"/>
      <c r="N922" s="62"/>
      <c r="O922" s="62"/>
      <c r="P922" s="62"/>
      <c r="Q922" s="62"/>
      <c r="R922" s="62"/>
      <c r="S922" s="258"/>
      <c r="T922" s="248" t="str">
        <f t="shared" si="130"/>
        <v/>
      </c>
      <c r="U922" s="249" t="str">
        <f t="shared" si="131"/>
        <v/>
      </c>
      <c r="V922" s="294" t="str">
        <f t="shared" si="127"/>
        <v/>
      </c>
      <c r="W922" s="294" t="str">
        <f>IF(((E922="")+(F922="")),"",IF(VLOOKUP(F922,Mannschaften!$A$1:$B$54,2,FALSE)&lt;&gt;E922,"Reiter Mannschaften füllen",""))</f>
        <v/>
      </c>
      <c r="X922" s="248" t="str">
        <f>IF(ISBLANK(C922),"",IF((U922&gt;(LOOKUP(E922,WKNrListe,Übersicht!$O$7:$O$46)))+(U922&lt;(LOOKUP(E922,WKNrListe,Übersicht!$P$7:$P$46))),"JG falsch",""))</f>
        <v/>
      </c>
      <c r="Y922" s="255" t="str">
        <f>IF((A922="")*(B922=""),"",IF(ISERROR(MATCH(E922,WKNrListe,0)),"WK falsch",LOOKUP(E922,WKNrListe,Übersicht!$B$7:$B$46)))</f>
        <v/>
      </c>
      <c r="Z922" s="269" t="str">
        <f>IF(((AJ922=0)*(AH922&lt;&gt;"")*(AK922="-"))+((AJ922&lt;&gt;0)*(AH922&lt;&gt;"")*(AK922="-")),IF(AG922="X",Übersicht!$C$70,Übersicht!$C$69),"-")</f>
        <v>-</v>
      </c>
      <c r="AA922" s="252" t="str">
        <f>IF((($A922="")*($B922=""))+((MID($Y922,1,4)&lt;&gt;"Wahl")*(Deckblatt!$C$14='WK-Vorlagen'!$C$82))+(Deckblatt!$C$14&lt;&gt;'WK-Vorlagen'!$C$82),"",IF(ISERROR(MATCH(VALUE(MID(G922,1,2)),Schwierigkeitsstufen!$G$7:$G$19,0)),"Gerät falsch",LOOKUP(VALUE(MID(G922,1,2)),Schwierigkeitsstufen!$G$7:$G$19,Schwierigkeitsstufen!$H$7:$H$19)))</f>
        <v/>
      </c>
      <c r="AB922" s="250" t="str">
        <f>IF((($A922="")*($B922=""))+((MID($Y922,1,4)&lt;&gt;"Wahl")*(Deckblatt!$C$14='WK-Vorlagen'!$C$82))+(Deckblatt!$C$14&lt;&gt;'WK-Vorlagen'!$C$82),"",IF(ISERROR(MATCH(VALUE(MID(H922,1,2)),Schwierigkeitsstufen!$G$7:$G$19,0)),"Gerät falsch",LOOKUP(VALUE(MID(H922,1,2)),Schwierigkeitsstufen!$G$7:$G$19,Schwierigkeitsstufen!$H$7:$H$19)))</f>
        <v/>
      </c>
      <c r="AC922" s="250" t="str">
        <f>IF((($A922="")*($B922=""))+((MID($Y922,1,4)&lt;&gt;"Wahl")*(Deckblatt!$C$14='WK-Vorlagen'!$C$82))+(Deckblatt!$C$14&lt;&gt;'WK-Vorlagen'!$C$82),"",IF(ISERROR(MATCH(VALUE(MID(I922,1,2)),Schwierigkeitsstufen!$G$7:$G$19,0)),"Gerät falsch",LOOKUP(VALUE(MID(I922,1,2)),Schwierigkeitsstufen!$G$7:$G$19,Schwierigkeitsstufen!$H$7:$H$19)))</f>
        <v/>
      </c>
      <c r="AD922" s="251" t="str">
        <f>IF((($A922="")*($B922=""))+((MID($Y922,1,4)&lt;&gt;"Wahl")*(Deckblatt!$C$14='WK-Vorlagen'!$C$82))+(Deckblatt!$C$14&lt;&gt;'WK-Vorlagen'!$C$82),"",IF(ISERROR(MATCH(VALUE(MID(J922,1,2)),Schwierigkeitsstufen!$G$7:$G$19,0)),"Gerät falsch",LOOKUP(VALUE(MID(J922,1,2)),Schwierigkeitsstufen!$G$7:$G$19,Schwierigkeitsstufen!$H$7:$H$19)))</f>
        <v/>
      </c>
      <c r="AE922" s="211"/>
      <c r="AG922" s="221" t="str">
        <f t="shared" si="126"/>
        <v/>
      </c>
      <c r="AH922" s="222" t="str">
        <f t="shared" si="128"/>
        <v/>
      </c>
      <c r="AI922" s="220">
        <f t="shared" si="133"/>
        <v>4</v>
      </c>
      <c r="AJ922" s="222">
        <f t="shared" si="129"/>
        <v>0</v>
      </c>
      <c r="AK922" s="299" t="str">
        <f>IF(ISERROR(LOOKUP(E922,WKNrListe,Übersicht!$R$7:$R$46)),"-",LOOKUP(E922,WKNrListe,Übersicht!$R$7:$R$46))</f>
        <v>-</v>
      </c>
      <c r="AL922" s="299" t="str">
        <f t="shared" si="132"/>
        <v>-</v>
      </c>
      <c r="AM922" s="303"/>
      <c r="AN922" s="174" t="str">
        <f t="shared" si="125"/>
        <v>Leer</v>
      </c>
    </row>
    <row r="923" spans="1:40" s="174" customFormat="1" ht="15" customHeight="1">
      <c r="A923" s="63"/>
      <c r="B923" s="63"/>
      <c r="C923" s="84"/>
      <c r="D923" s="85"/>
      <c r="E923" s="62"/>
      <c r="F923" s="62"/>
      <c r="G923" s="62"/>
      <c r="H923" s="62"/>
      <c r="I923" s="62"/>
      <c r="J923" s="62"/>
      <c r="K923" s="62"/>
      <c r="L923" s="62"/>
      <c r="M923" s="62"/>
      <c r="N923" s="62"/>
      <c r="O923" s="62"/>
      <c r="P923" s="62"/>
      <c r="Q923" s="62"/>
      <c r="R923" s="62"/>
      <c r="S923" s="258"/>
      <c r="T923" s="248" t="str">
        <f t="shared" si="130"/>
        <v/>
      </c>
      <c r="U923" s="249" t="str">
        <f t="shared" si="131"/>
        <v/>
      </c>
      <c r="V923" s="294" t="str">
        <f t="shared" si="127"/>
        <v/>
      </c>
      <c r="W923" s="294" t="str">
        <f>IF(((E923="")+(F923="")),"",IF(VLOOKUP(F923,Mannschaften!$A$1:$B$54,2,FALSE)&lt;&gt;E923,"Reiter Mannschaften füllen",""))</f>
        <v/>
      </c>
      <c r="X923" s="248" t="str">
        <f>IF(ISBLANK(C923),"",IF((U923&gt;(LOOKUP(E923,WKNrListe,Übersicht!$O$7:$O$46)))+(U923&lt;(LOOKUP(E923,WKNrListe,Übersicht!$P$7:$P$46))),"JG falsch",""))</f>
        <v/>
      </c>
      <c r="Y923" s="255" t="str">
        <f>IF((A923="")*(B923=""),"",IF(ISERROR(MATCH(E923,WKNrListe,0)),"WK falsch",LOOKUP(E923,WKNrListe,Übersicht!$B$7:$B$46)))</f>
        <v/>
      </c>
      <c r="Z923" s="269" t="str">
        <f>IF(((AJ923=0)*(AH923&lt;&gt;"")*(AK923="-"))+((AJ923&lt;&gt;0)*(AH923&lt;&gt;"")*(AK923="-")),IF(AG923="X",Übersicht!$C$70,Übersicht!$C$69),"-")</f>
        <v>-</v>
      </c>
      <c r="AA923" s="252" t="str">
        <f>IF((($A923="")*($B923=""))+((MID($Y923,1,4)&lt;&gt;"Wahl")*(Deckblatt!$C$14='WK-Vorlagen'!$C$82))+(Deckblatt!$C$14&lt;&gt;'WK-Vorlagen'!$C$82),"",IF(ISERROR(MATCH(VALUE(MID(G923,1,2)),Schwierigkeitsstufen!$G$7:$G$19,0)),"Gerät falsch",LOOKUP(VALUE(MID(G923,1,2)),Schwierigkeitsstufen!$G$7:$G$19,Schwierigkeitsstufen!$H$7:$H$19)))</f>
        <v/>
      </c>
      <c r="AB923" s="250" t="str">
        <f>IF((($A923="")*($B923=""))+((MID($Y923,1,4)&lt;&gt;"Wahl")*(Deckblatt!$C$14='WK-Vorlagen'!$C$82))+(Deckblatt!$C$14&lt;&gt;'WK-Vorlagen'!$C$82),"",IF(ISERROR(MATCH(VALUE(MID(H923,1,2)),Schwierigkeitsstufen!$G$7:$G$19,0)),"Gerät falsch",LOOKUP(VALUE(MID(H923,1,2)),Schwierigkeitsstufen!$G$7:$G$19,Schwierigkeitsstufen!$H$7:$H$19)))</f>
        <v/>
      </c>
      <c r="AC923" s="250" t="str">
        <f>IF((($A923="")*($B923=""))+((MID($Y923,1,4)&lt;&gt;"Wahl")*(Deckblatt!$C$14='WK-Vorlagen'!$C$82))+(Deckblatt!$C$14&lt;&gt;'WK-Vorlagen'!$C$82),"",IF(ISERROR(MATCH(VALUE(MID(I923,1,2)),Schwierigkeitsstufen!$G$7:$G$19,0)),"Gerät falsch",LOOKUP(VALUE(MID(I923,1,2)),Schwierigkeitsstufen!$G$7:$G$19,Schwierigkeitsstufen!$H$7:$H$19)))</f>
        <v/>
      </c>
      <c r="AD923" s="251" t="str">
        <f>IF((($A923="")*($B923=""))+((MID($Y923,1,4)&lt;&gt;"Wahl")*(Deckblatt!$C$14='WK-Vorlagen'!$C$82))+(Deckblatt!$C$14&lt;&gt;'WK-Vorlagen'!$C$82),"",IF(ISERROR(MATCH(VALUE(MID(J923,1,2)),Schwierigkeitsstufen!$G$7:$G$19,0)),"Gerät falsch",LOOKUP(VALUE(MID(J923,1,2)),Schwierigkeitsstufen!$G$7:$G$19,Schwierigkeitsstufen!$H$7:$H$19)))</f>
        <v/>
      </c>
      <c r="AE923" s="211"/>
      <c r="AG923" s="221" t="str">
        <f t="shared" si="126"/>
        <v/>
      </c>
      <c r="AH923" s="222" t="str">
        <f t="shared" si="128"/>
        <v/>
      </c>
      <c r="AI923" s="220">
        <f t="shared" si="133"/>
        <v>4</v>
      </c>
      <c r="AJ923" s="222">
        <f t="shared" si="129"/>
        <v>0</v>
      </c>
      <c r="AK923" s="299" t="str">
        <f>IF(ISERROR(LOOKUP(E923,WKNrListe,Übersicht!$R$7:$R$46)),"-",LOOKUP(E923,WKNrListe,Übersicht!$R$7:$R$46))</f>
        <v>-</v>
      </c>
      <c r="AL923" s="299" t="str">
        <f t="shared" si="132"/>
        <v>-</v>
      </c>
      <c r="AM923" s="303"/>
      <c r="AN923" s="174" t="str">
        <f t="shared" si="125"/>
        <v>Leer</v>
      </c>
    </row>
    <row r="924" spans="1:40" s="174" customFormat="1" ht="15" customHeight="1">
      <c r="A924" s="63"/>
      <c r="B924" s="63"/>
      <c r="C924" s="84"/>
      <c r="D924" s="85"/>
      <c r="E924" s="62"/>
      <c r="F924" s="62"/>
      <c r="G924" s="62"/>
      <c r="H924" s="62"/>
      <c r="I924" s="62"/>
      <c r="J924" s="62"/>
      <c r="K924" s="62"/>
      <c r="L924" s="62"/>
      <c r="M924" s="62"/>
      <c r="N924" s="62"/>
      <c r="O924" s="62"/>
      <c r="P924" s="62"/>
      <c r="Q924" s="62"/>
      <c r="R924" s="62"/>
      <c r="S924" s="258"/>
      <c r="T924" s="248" t="str">
        <f t="shared" si="130"/>
        <v/>
      </c>
      <c r="U924" s="249" t="str">
        <f t="shared" si="131"/>
        <v/>
      </c>
      <c r="V924" s="294" t="str">
        <f t="shared" si="127"/>
        <v/>
      </c>
      <c r="W924" s="294" t="str">
        <f>IF(((E924="")+(F924="")),"",IF(VLOOKUP(F924,Mannschaften!$A$1:$B$54,2,FALSE)&lt;&gt;E924,"Reiter Mannschaften füllen",""))</f>
        <v/>
      </c>
      <c r="X924" s="248" t="str">
        <f>IF(ISBLANK(C924),"",IF((U924&gt;(LOOKUP(E924,WKNrListe,Übersicht!$O$7:$O$46)))+(U924&lt;(LOOKUP(E924,WKNrListe,Übersicht!$P$7:$P$46))),"JG falsch",""))</f>
        <v/>
      </c>
      <c r="Y924" s="255" t="str">
        <f>IF((A924="")*(B924=""),"",IF(ISERROR(MATCH(E924,WKNrListe,0)),"WK falsch",LOOKUP(E924,WKNrListe,Übersicht!$B$7:$B$46)))</f>
        <v/>
      </c>
      <c r="Z924" s="269" t="str">
        <f>IF(((AJ924=0)*(AH924&lt;&gt;"")*(AK924="-"))+((AJ924&lt;&gt;0)*(AH924&lt;&gt;"")*(AK924="-")),IF(AG924="X",Übersicht!$C$70,Übersicht!$C$69),"-")</f>
        <v>-</v>
      </c>
      <c r="AA924" s="252" t="str">
        <f>IF((($A924="")*($B924=""))+((MID($Y924,1,4)&lt;&gt;"Wahl")*(Deckblatt!$C$14='WK-Vorlagen'!$C$82))+(Deckblatt!$C$14&lt;&gt;'WK-Vorlagen'!$C$82),"",IF(ISERROR(MATCH(VALUE(MID(G924,1,2)),Schwierigkeitsstufen!$G$7:$G$19,0)),"Gerät falsch",LOOKUP(VALUE(MID(G924,1,2)),Schwierigkeitsstufen!$G$7:$G$19,Schwierigkeitsstufen!$H$7:$H$19)))</f>
        <v/>
      </c>
      <c r="AB924" s="250" t="str">
        <f>IF((($A924="")*($B924=""))+((MID($Y924,1,4)&lt;&gt;"Wahl")*(Deckblatt!$C$14='WK-Vorlagen'!$C$82))+(Deckblatt!$C$14&lt;&gt;'WK-Vorlagen'!$C$82),"",IF(ISERROR(MATCH(VALUE(MID(H924,1,2)),Schwierigkeitsstufen!$G$7:$G$19,0)),"Gerät falsch",LOOKUP(VALUE(MID(H924,1,2)),Schwierigkeitsstufen!$G$7:$G$19,Schwierigkeitsstufen!$H$7:$H$19)))</f>
        <v/>
      </c>
      <c r="AC924" s="250" t="str">
        <f>IF((($A924="")*($B924=""))+((MID($Y924,1,4)&lt;&gt;"Wahl")*(Deckblatt!$C$14='WK-Vorlagen'!$C$82))+(Deckblatt!$C$14&lt;&gt;'WK-Vorlagen'!$C$82),"",IF(ISERROR(MATCH(VALUE(MID(I924,1,2)),Schwierigkeitsstufen!$G$7:$G$19,0)),"Gerät falsch",LOOKUP(VALUE(MID(I924,1,2)),Schwierigkeitsstufen!$G$7:$G$19,Schwierigkeitsstufen!$H$7:$H$19)))</f>
        <v/>
      </c>
      <c r="AD924" s="251" t="str">
        <f>IF((($A924="")*($B924=""))+((MID($Y924,1,4)&lt;&gt;"Wahl")*(Deckblatt!$C$14='WK-Vorlagen'!$C$82))+(Deckblatt!$C$14&lt;&gt;'WK-Vorlagen'!$C$82),"",IF(ISERROR(MATCH(VALUE(MID(J924,1,2)),Schwierigkeitsstufen!$G$7:$G$19,0)),"Gerät falsch",LOOKUP(VALUE(MID(J924,1,2)),Schwierigkeitsstufen!$G$7:$G$19,Schwierigkeitsstufen!$H$7:$H$19)))</f>
        <v/>
      </c>
      <c r="AE924" s="211"/>
      <c r="AG924" s="221" t="str">
        <f t="shared" si="126"/>
        <v/>
      </c>
      <c r="AH924" s="222" t="str">
        <f t="shared" si="128"/>
        <v/>
      </c>
      <c r="AI924" s="220">
        <f t="shared" si="133"/>
        <v>4</v>
      </c>
      <c r="AJ924" s="222">
        <f t="shared" si="129"/>
        <v>0</v>
      </c>
      <c r="AK924" s="299" t="str">
        <f>IF(ISERROR(LOOKUP(E924,WKNrListe,Übersicht!$R$7:$R$46)),"-",LOOKUP(E924,WKNrListe,Übersicht!$R$7:$R$46))</f>
        <v>-</v>
      </c>
      <c r="AL924" s="299" t="str">
        <f t="shared" si="132"/>
        <v>-</v>
      </c>
      <c r="AM924" s="303"/>
      <c r="AN924" s="174" t="str">
        <f t="shared" si="125"/>
        <v>Leer</v>
      </c>
    </row>
    <row r="925" spans="1:40" s="174" customFormat="1" ht="15" customHeight="1">
      <c r="A925" s="63"/>
      <c r="B925" s="63"/>
      <c r="C925" s="84"/>
      <c r="D925" s="85"/>
      <c r="E925" s="62"/>
      <c r="F925" s="62"/>
      <c r="G925" s="62"/>
      <c r="H925" s="62"/>
      <c r="I925" s="62"/>
      <c r="J925" s="62"/>
      <c r="K925" s="62"/>
      <c r="L925" s="62"/>
      <c r="M925" s="62"/>
      <c r="N925" s="62"/>
      <c r="O925" s="62"/>
      <c r="P925" s="62"/>
      <c r="Q925" s="62"/>
      <c r="R925" s="62"/>
      <c r="S925" s="258"/>
      <c r="T925" s="248" t="str">
        <f t="shared" si="130"/>
        <v/>
      </c>
      <c r="U925" s="249" t="str">
        <f t="shared" si="131"/>
        <v/>
      </c>
      <c r="V925" s="294" t="str">
        <f t="shared" si="127"/>
        <v/>
      </c>
      <c r="W925" s="294" t="str">
        <f>IF(((E925="")+(F925="")),"",IF(VLOOKUP(F925,Mannschaften!$A$1:$B$54,2,FALSE)&lt;&gt;E925,"Reiter Mannschaften füllen",""))</f>
        <v/>
      </c>
      <c r="X925" s="248" t="str">
        <f>IF(ISBLANK(C925),"",IF((U925&gt;(LOOKUP(E925,WKNrListe,Übersicht!$O$7:$O$46)))+(U925&lt;(LOOKUP(E925,WKNrListe,Übersicht!$P$7:$P$46))),"JG falsch",""))</f>
        <v/>
      </c>
      <c r="Y925" s="255" t="str">
        <f>IF((A925="")*(B925=""),"",IF(ISERROR(MATCH(E925,WKNrListe,0)),"WK falsch",LOOKUP(E925,WKNrListe,Übersicht!$B$7:$B$46)))</f>
        <v/>
      </c>
      <c r="Z925" s="269" t="str">
        <f>IF(((AJ925=0)*(AH925&lt;&gt;"")*(AK925="-"))+((AJ925&lt;&gt;0)*(AH925&lt;&gt;"")*(AK925="-")),IF(AG925="X",Übersicht!$C$70,Übersicht!$C$69),"-")</f>
        <v>-</v>
      </c>
      <c r="AA925" s="252" t="str">
        <f>IF((($A925="")*($B925=""))+((MID($Y925,1,4)&lt;&gt;"Wahl")*(Deckblatt!$C$14='WK-Vorlagen'!$C$82))+(Deckblatt!$C$14&lt;&gt;'WK-Vorlagen'!$C$82),"",IF(ISERROR(MATCH(VALUE(MID(G925,1,2)),Schwierigkeitsstufen!$G$7:$G$19,0)),"Gerät falsch",LOOKUP(VALUE(MID(G925,1,2)),Schwierigkeitsstufen!$G$7:$G$19,Schwierigkeitsstufen!$H$7:$H$19)))</f>
        <v/>
      </c>
      <c r="AB925" s="250" t="str">
        <f>IF((($A925="")*($B925=""))+((MID($Y925,1,4)&lt;&gt;"Wahl")*(Deckblatt!$C$14='WK-Vorlagen'!$C$82))+(Deckblatt!$C$14&lt;&gt;'WK-Vorlagen'!$C$82),"",IF(ISERROR(MATCH(VALUE(MID(H925,1,2)),Schwierigkeitsstufen!$G$7:$G$19,0)),"Gerät falsch",LOOKUP(VALUE(MID(H925,1,2)),Schwierigkeitsstufen!$G$7:$G$19,Schwierigkeitsstufen!$H$7:$H$19)))</f>
        <v/>
      </c>
      <c r="AC925" s="250" t="str">
        <f>IF((($A925="")*($B925=""))+((MID($Y925,1,4)&lt;&gt;"Wahl")*(Deckblatt!$C$14='WK-Vorlagen'!$C$82))+(Deckblatt!$C$14&lt;&gt;'WK-Vorlagen'!$C$82),"",IF(ISERROR(MATCH(VALUE(MID(I925,1,2)),Schwierigkeitsstufen!$G$7:$G$19,0)),"Gerät falsch",LOOKUP(VALUE(MID(I925,1,2)),Schwierigkeitsstufen!$G$7:$G$19,Schwierigkeitsstufen!$H$7:$H$19)))</f>
        <v/>
      </c>
      <c r="AD925" s="251" t="str">
        <f>IF((($A925="")*($B925=""))+((MID($Y925,1,4)&lt;&gt;"Wahl")*(Deckblatt!$C$14='WK-Vorlagen'!$C$82))+(Deckblatt!$C$14&lt;&gt;'WK-Vorlagen'!$C$82),"",IF(ISERROR(MATCH(VALUE(MID(J925,1,2)),Schwierigkeitsstufen!$G$7:$G$19,0)),"Gerät falsch",LOOKUP(VALUE(MID(J925,1,2)),Schwierigkeitsstufen!$G$7:$G$19,Schwierigkeitsstufen!$H$7:$H$19)))</f>
        <v/>
      </c>
      <c r="AE925" s="211"/>
      <c r="AG925" s="221" t="str">
        <f t="shared" si="126"/>
        <v/>
      </c>
      <c r="AH925" s="222" t="str">
        <f t="shared" si="128"/>
        <v/>
      </c>
      <c r="AI925" s="220">
        <f t="shared" si="133"/>
        <v>4</v>
      </c>
      <c r="AJ925" s="222">
        <f t="shared" si="129"/>
        <v>0</v>
      </c>
      <c r="AK925" s="299" t="str">
        <f>IF(ISERROR(LOOKUP(E925,WKNrListe,Übersicht!$R$7:$R$46)),"-",LOOKUP(E925,WKNrListe,Übersicht!$R$7:$R$46))</f>
        <v>-</v>
      </c>
      <c r="AL925" s="299" t="str">
        <f t="shared" si="132"/>
        <v>-</v>
      </c>
      <c r="AM925" s="303"/>
      <c r="AN925" s="174" t="str">
        <f t="shared" si="125"/>
        <v>Leer</v>
      </c>
    </row>
    <row r="926" spans="1:40" s="174" customFormat="1" ht="15" customHeight="1">
      <c r="A926" s="63"/>
      <c r="B926" s="63"/>
      <c r="C926" s="84"/>
      <c r="D926" s="85"/>
      <c r="E926" s="62"/>
      <c r="F926" s="62"/>
      <c r="G926" s="62"/>
      <c r="H926" s="62"/>
      <c r="I926" s="62"/>
      <c r="J926" s="62"/>
      <c r="K926" s="62"/>
      <c r="L926" s="62"/>
      <c r="M926" s="62"/>
      <c r="N926" s="62"/>
      <c r="O926" s="62"/>
      <c r="P926" s="62"/>
      <c r="Q926" s="62"/>
      <c r="R926" s="62"/>
      <c r="S926" s="258"/>
      <c r="T926" s="248" t="str">
        <f t="shared" si="130"/>
        <v/>
      </c>
      <c r="U926" s="249" t="str">
        <f t="shared" si="131"/>
        <v/>
      </c>
      <c r="V926" s="294" t="str">
        <f t="shared" si="127"/>
        <v/>
      </c>
      <c r="W926" s="294" t="str">
        <f>IF(((E926="")+(F926="")),"",IF(VLOOKUP(F926,Mannschaften!$A$1:$B$54,2,FALSE)&lt;&gt;E926,"Reiter Mannschaften füllen",""))</f>
        <v/>
      </c>
      <c r="X926" s="248" t="str">
        <f>IF(ISBLANK(C926),"",IF((U926&gt;(LOOKUP(E926,WKNrListe,Übersicht!$O$7:$O$46)))+(U926&lt;(LOOKUP(E926,WKNrListe,Übersicht!$P$7:$P$46))),"JG falsch",""))</f>
        <v/>
      </c>
      <c r="Y926" s="255" t="str">
        <f>IF((A926="")*(B926=""),"",IF(ISERROR(MATCH(E926,WKNrListe,0)),"WK falsch",LOOKUP(E926,WKNrListe,Übersicht!$B$7:$B$46)))</f>
        <v/>
      </c>
      <c r="Z926" s="269" t="str">
        <f>IF(((AJ926=0)*(AH926&lt;&gt;"")*(AK926="-"))+((AJ926&lt;&gt;0)*(AH926&lt;&gt;"")*(AK926="-")),IF(AG926="X",Übersicht!$C$70,Übersicht!$C$69),"-")</f>
        <v>-</v>
      </c>
      <c r="AA926" s="252" t="str">
        <f>IF((($A926="")*($B926=""))+((MID($Y926,1,4)&lt;&gt;"Wahl")*(Deckblatt!$C$14='WK-Vorlagen'!$C$82))+(Deckblatt!$C$14&lt;&gt;'WK-Vorlagen'!$C$82),"",IF(ISERROR(MATCH(VALUE(MID(G926,1,2)),Schwierigkeitsstufen!$G$7:$G$19,0)),"Gerät falsch",LOOKUP(VALUE(MID(G926,1,2)),Schwierigkeitsstufen!$G$7:$G$19,Schwierigkeitsstufen!$H$7:$H$19)))</f>
        <v/>
      </c>
      <c r="AB926" s="250" t="str">
        <f>IF((($A926="")*($B926=""))+((MID($Y926,1,4)&lt;&gt;"Wahl")*(Deckblatt!$C$14='WK-Vorlagen'!$C$82))+(Deckblatt!$C$14&lt;&gt;'WK-Vorlagen'!$C$82),"",IF(ISERROR(MATCH(VALUE(MID(H926,1,2)),Schwierigkeitsstufen!$G$7:$G$19,0)),"Gerät falsch",LOOKUP(VALUE(MID(H926,1,2)),Schwierigkeitsstufen!$G$7:$G$19,Schwierigkeitsstufen!$H$7:$H$19)))</f>
        <v/>
      </c>
      <c r="AC926" s="250" t="str">
        <f>IF((($A926="")*($B926=""))+((MID($Y926,1,4)&lt;&gt;"Wahl")*(Deckblatt!$C$14='WK-Vorlagen'!$C$82))+(Deckblatt!$C$14&lt;&gt;'WK-Vorlagen'!$C$82),"",IF(ISERROR(MATCH(VALUE(MID(I926,1,2)),Schwierigkeitsstufen!$G$7:$G$19,0)),"Gerät falsch",LOOKUP(VALUE(MID(I926,1,2)),Schwierigkeitsstufen!$G$7:$G$19,Schwierigkeitsstufen!$H$7:$H$19)))</f>
        <v/>
      </c>
      <c r="AD926" s="251" t="str">
        <f>IF((($A926="")*($B926=""))+((MID($Y926,1,4)&lt;&gt;"Wahl")*(Deckblatt!$C$14='WK-Vorlagen'!$C$82))+(Deckblatt!$C$14&lt;&gt;'WK-Vorlagen'!$C$82),"",IF(ISERROR(MATCH(VALUE(MID(J926,1,2)),Schwierigkeitsstufen!$G$7:$G$19,0)),"Gerät falsch",LOOKUP(VALUE(MID(J926,1,2)),Schwierigkeitsstufen!$G$7:$G$19,Schwierigkeitsstufen!$H$7:$H$19)))</f>
        <v/>
      </c>
      <c r="AE926" s="211"/>
      <c r="AG926" s="221" t="str">
        <f t="shared" si="126"/>
        <v/>
      </c>
      <c r="AH926" s="222" t="str">
        <f t="shared" si="128"/>
        <v/>
      </c>
      <c r="AI926" s="220">
        <f t="shared" si="133"/>
        <v>4</v>
      </c>
      <c r="AJ926" s="222">
        <f t="shared" si="129"/>
        <v>0</v>
      </c>
      <c r="AK926" s="299" t="str">
        <f>IF(ISERROR(LOOKUP(E926,WKNrListe,Übersicht!$R$7:$R$46)),"-",LOOKUP(E926,WKNrListe,Übersicht!$R$7:$R$46))</f>
        <v>-</v>
      </c>
      <c r="AL926" s="299" t="str">
        <f t="shared" si="132"/>
        <v>-</v>
      </c>
      <c r="AM926" s="303"/>
      <c r="AN926" s="174" t="str">
        <f t="shared" si="125"/>
        <v>Leer</v>
      </c>
    </row>
    <row r="927" spans="1:40" s="174" customFormat="1" ht="15" customHeight="1">
      <c r="A927" s="63"/>
      <c r="B927" s="63"/>
      <c r="C927" s="84"/>
      <c r="D927" s="85"/>
      <c r="E927" s="62"/>
      <c r="F927" s="62"/>
      <c r="G927" s="62"/>
      <c r="H927" s="62"/>
      <c r="I927" s="62"/>
      <c r="J927" s="62"/>
      <c r="K927" s="62"/>
      <c r="L927" s="62"/>
      <c r="M927" s="62"/>
      <c r="N927" s="62"/>
      <c r="O927" s="62"/>
      <c r="P927" s="62"/>
      <c r="Q927" s="62"/>
      <c r="R927" s="62"/>
      <c r="S927" s="258"/>
      <c r="T927" s="248" t="str">
        <f t="shared" si="130"/>
        <v/>
      </c>
      <c r="U927" s="249" t="str">
        <f t="shared" si="131"/>
        <v/>
      </c>
      <c r="V927" s="294" t="str">
        <f t="shared" si="127"/>
        <v/>
      </c>
      <c r="W927" s="294" t="str">
        <f>IF(((E927="")+(F927="")),"",IF(VLOOKUP(F927,Mannschaften!$A$1:$B$54,2,FALSE)&lt;&gt;E927,"Reiter Mannschaften füllen",""))</f>
        <v/>
      </c>
      <c r="X927" s="248" t="str">
        <f>IF(ISBLANK(C927),"",IF((U927&gt;(LOOKUP(E927,WKNrListe,Übersicht!$O$7:$O$46)))+(U927&lt;(LOOKUP(E927,WKNrListe,Übersicht!$P$7:$P$46))),"JG falsch",""))</f>
        <v/>
      </c>
      <c r="Y927" s="255" t="str">
        <f>IF((A927="")*(B927=""),"",IF(ISERROR(MATCH(E927,WKNrListe,0)),"WK falsch",LOOKUP(E927,WKNrListe,Übersicht!$B$7:$B$46)))</f>
        <v/>
      </c>
      <c r="Z927" s="269" t="str">
        <f>IF(((AJ927=0)*(AH927&lt;&gt;"")*(AK927="-"))+((AJ927&lt;&gt;0)*(AH927&lt;&gt;"")*(AK927="-")),IF(AG927="X",Übersicht!$C$70,Übersicht!$C$69),"-")</f>
        <v>-</v>
      </c>
      <c r="AA927" s="252" t="str">
        <f>IF((($A927="")*($B927=""))+((MID($Y927,1,4)&lt;&gt;"Wahl")*(Deckblatt!$C$14='WK-Vorlagen'!$C$82))+(Deckblatt!$C$14&lt;&gt;'WK-Vorlagen'!$C$82),"",IF(ISERROR(MATCH(VALUE(MID(G927,1,2)),Schwierigkeitsstufen!$G$7:$G$19,0)),"Gerät falsch",LOOKUP(VALUE(MID(G927,1,2)),Schwierigkeitsstufen!$G$7:$G$19,Schwierigkeitsstufen!$H$7:$H$19)))</f>
        <v/>
      </c>
      <c r="AB927" s="250" t="str">
        <f>IF((($A927="")*($B927=""))+((MID($Y927,1,4)&lt;&gt;"Wahl")*(Deckblatt!$C$14='WK-Vorlagen'!$C$82))+(Deckblatt!$C$14&lt;&gt;'WK-Vorlagen'!$C$82),"",IF(ISERROR(MATCH(VALUE(MID(H927,1,2)),Schwierigkeitsstufen!$G$7:$G$19,0)),"Gerät falsch",LOOKUP(VALUE(MID(H927,1,2)),Schwierigkeitsstufen!$G$7:$G$19,Schwierigkeitsstufen!$H$7:$H$19)))</f>
        <v/>
      </c>
      <c r="AC927" s="250" t="str">
        <f>IF((($A927="")*($B927=""))+((MID($Y927,1,4)&lt;&gt;"Wahl")*(Deckblatt!$C$14='WK-Vorlagen'!$C$82))+(Deckblatt!$C$14&lt;&gt;'WK-Vorlagen'!$C$82),"",IF(ISERROR(MATCH(VALUE(MID(I927,1,2)),Schwierigkeitsstufen!$G$7:$G$19,0)),"Gerät falsch",LOOKUP(VALUE(MID(I927,1,2)),Schwierigkeitsstufen!$G$7:$G$19,Schwierigkeitsstufen!$H$7:$H$19)))</f>
        <v/>
      </c>
      <c r="AD927" s="251" t="str">
        <f>IF((($A927="")*($B927=""))+((MID($Y927,1,4)&lt;&gt;"Wahl")*(Deckblatt!$C$14='WK-Vorlagen'!$C$82))+(Deckblatt!$C$14&lt;&gt;'WK-Vorlagen'!$C$82),"",IF(ISERROR(MATCH(VALUE(MID(J927,1,2)),Schwierigkeitsstufen!$G$7:$G$19,0)),"Gerät falsch",LOOKUP(VALUE(MID(J927,1,2)),Schwierigkeitsstufen!$G$7:$G$19,Schwierigkeitsstufen!$H$7:$H$19)))</f>
        <v/>
      </c>
      <c r="AE927" s="211"/>
      <c r="AG927" s="221" t="str">
        <f t="shared" si="126"/>
        <v/>
      </c>
      <c r="AH927" s="222" t="str">
        <f t="shared" si="128"/>
        <v/>
      </c>
      <c r="AI927" s="220">
        <f t="shared" si="133"/>
        <v>4</v>
      </c>
      <c r="AJ927" s="222">
        <f t="shared" si="129"/>
        <v>0</v>
      </c>
      <c r="AK927" s="299" t="str">
        <f>IF(ISERROR(LOOKUP(E927,WKNrListe,Übersicht!$R$7:$R$46)),"-",LOOKUP(E927,WKNrListe,Übersicht!$R$7:$R$46))</f>
        <v>-</v>
      </c>
      <c r="AL927" s="299" t="str">
        <f t="shared" si="132"/>
        <v>-</v>
      </c>
      <c r="AM927" s="303"/>
      <c r="AN927" s="174" t="str">
        <f t="shared" si="125"/>
        <v>Leer</v>
      </c>
    </row>
    <row r="928" spans="1:40" s="174" customFormat="1" ht="15" customHeight="1">
      <c r="A928" s="63"/>
      <c r="B928" s="63"/>
      <c r="C928" s="84"/>
      <c r="D928" s="85"/>
      <c r="E928" s="62"/>
      <c r="F928" s="62"/>
      <c r="G928" s="62"/>
      <c r="H928" s="62"/>
      <c r="I928" s="62"/>
      <c r="J928" s="62"/>
      <c r="K928" s="62"/>
      <c r="L928" s="62"/>
      <c r="M928" s="62"/>
      <c r="N928" s="62"/>
      <c r="O928" s="62"/>
      <c r="P928" s="62"/>
      <c r="Q928" s="62"/>
      <c r="R928" s="62"/>
      <c r="S928" s="258"/>
      <c r="T928" s="248" t="str">
        <f t="shared" si="130"/>
        <v/>
      </c>
      <c r="U928" s="249" t="str">
        <f t="shared" si="131"/>
        <v/>
      </c>
      <c r="V928" s="294" t="str">
        <f t="shared" si="127"/>
        <v/>
      </c>
      <c r="W928" s="294" t="str">
        <f>IF(((E928="")+(F928="")),"",IF(VLOOKUP(F928,Mannschaften!$A$1:$B$54,2,FALSE)&lt;&gt;E928,"Reiter Mannschaften füllen",""))</f>
        <v/>
      </c>
      <c r="X928" s="248" t="str">
        <f>IF(ISBLANK(C928),"",IF((U928&gt;(LOOKUP(E928,WKNrListe,Übersicht!$O$7:$O$46)))+(U928&lt;(LOOKUP(E928,WKNrListe,Übersicht!$P$7:$P$46))),"JG falsch",""))</f>
        <v/>
      </c>
      <c r="Y928" s="255" t="str">
        <f>IF((A928="")*(B928=""),"",IF(ISERROR(MATCH(E928,WKNrListe,0)),"WK falsch",LOOKUP(E928,WKNrListe,Übersicht!$B$7:$B$46)))</f>
        <v/>
      </c>
      <c r="Z928" s="269" t="str">
        <f>IF(((AJ928=0)*(AH928&lt;&gt;"")*(AK928="-"))+((AJ928&lt;&gt;0)*(AH928&lt;&gt;"")*(AK928="-")),IF(AG928="X",Übersicht!$C$70,Übersicht!$C$69),"-")</f>
        <v>-</v>
      </c>
      <c r="AA928" s="252" t="str">
        <f>IF((($A928="")*($B928=""))+((MID($Y928,1,4)&lt;&gt;"Wahl")*(Deckblatt!$C$14='WK-Vorlagen'!$C$82))+(Deckblatt!$C$14&lt;&gt;'WK-Vorlagen'!$C$82),"",IF(ISERROR(MATCH(VALUE(MID(G928,1,2)),Schwierigkeitsstufen!$G$7:$G$19,0)),"Gerät falsch",LOOKUP(VALUE(MID(G928,1,2)),Schwierigkeitsstufen!$G$7:$G$19,Schwierigkeitsstufen!$H$7:$H$19)))</f>
        <v/>
      </c>
      <c r="AB928" s="250" t="str">
        <f>IF((($A928="")*($B928=""))+((MID($Y928,1,4)&lt;&gt;"Wahl")*(Deckblatt!$C$14='WK-Vorlagen'!$C$82))+(Deckblatt!$C$14&lt;&gt;'WK-Vorlagen'!$C$82),"",IF(ISERROR(MATCH(VALUE(MID(H928,1,2)),Schwierigkeitsstufen!$G$7:$G$19,0)),"Gerät falsch",LOOKUP(VALUE(MID(H928,1,2)),Schwierigkeitsstufen!$G$7:$G$19,Schwierigkeitsstufen!$H$7:$H$19)))</f>
        <v/>
      </c>
      <c r="AC928" s="250" t="str">
        <f>IF((($A928="")*($B928=""))+((MID($Y928,1,4)&lt;&gt;"Wahl")*(Deckblatt!$C$14='WK-Vorlagen'!$C$82))+(Deckblatt!$C$14&lt;&gt;'WK-Vorlagen'!$C$82),"",IF(ISERROR(MATCH(VALUE(MID(I928,1,2)),Schwierigkeitsstufen!$G$7:$G$19,0)),"Gerät falsch",LOOKUP(VALUE(MID(I928,1,2)),Schwierigkeitsstufen!$G$7:$G$19,Schwierigkeitsstufen!$H$7:$H$19)))</f>
        <v/>
      </c>
      <c r="AD928" s="251" t="str">
        <f>IF((($A928="")*($B928=""))+((MID($Y928,1,4)&lt;&gt;"Wahl")*(Deckblatt!$C$14='WK-Vorlagen'!$C$82))+(Deckblatt!$C$14&lt;&gt;'WK-Vorlagen'!$C$82),"",IF(ISERROR(MATCH(VALUE(MID(J928,1,2)),Schwierigkeitsstufen!$G$7:$G$19,0)),"Gerät falsch",LOOKUP(VALUE(MID(J928,1,2)),Schwierigkeitsstufen!$G$7:$G$19,Schwierigkeitsstufen!$H$7:$H$19)))</f>
        <v/>
      </c>
      <c r="AE928" s="211"/>
      <c r="AG928" s="221" t="str">
        <f t="shared" si="126"/>
        <v/>
      </c>
      <c r="AH928" s="222" t="str">
        <f t="shared" si="128"/>
        <v/>
      </c>
      <c r="AI928" s="220">
        <f t="shared" si="133"/>
        <v>4</v>
      </c>
      <c r="AJ928" s="222">
        <f t="shared" si="129"/>
        <v>0</v>
      </c>
      <c r="AK928" s="299" t="str">
        <f>IF(ISERROR(LOOKUP(E928,WKNrListe,Übersicht!$R$7:$R$46)),"-",LOOKUP(E928,WKNrListe,Übersicht!$R$7:$R$46))</f>
        <v>-</v>
      </c>
      <c r="AL928" s="299" t="str">
        <f t="shared" si="132"/>
        <v>-</v>
      </c>
      <c r="AM928" s="303"/>
      <c r="AN928" s="174" t="str">
        <f t="shared" si="125"/>
        <v>Leer</v>
      </c>
    </row>
    <row r="929" spans="1:40" s="174" customFormat="1" ht="15" customHeight="1">
      <c r="A929" s="63"/>
      <c r="B929" s="63"/>
      <c r="C929" s="84"/>
      <c r="D929" s="85"/>
      <c r="E929" s="62"/>
      <c r="F929" s="62"/>
      <c r="G929" s="62"/>
      <c r="H929" s="62"/>
      <c r="I929" s="62"/>
      <c r="J929" s="62"/>
      <c r="K929" s="62"/>
      <c r="L929" s="62"/>
      <c r="M929" s="62"/>
      <c r="N929" s="62"/>
      <c r="O929" s="62"/>
      <c r="P929" s="62"/>
      <c r="Q929" s="62"/>
      <c r="R929" s="62"/>
      <c r="S929" s="258"/>
      <c r="T929" s="248" t="str">
        <f t="shared" si="130"/>
        <v/>
      </c>
      <c r="U929" s="249" t="str">
        <f t="shared" si="131"/>
        <v/>
      </c>
      <c r="V929" s="294" t="str">
        <f t="shared" si="127"/>
        <v/>
      </c>
      <c r="W929" s="294" t="str">
        <f>IF(((E929="")+(F929="")),"",IF(VLOOKUP(F929,Mannschaften!$A$1:$B$54,2,FALSE)&lt;&gt;E929,"Reiter Mannschaften füllen",""))</f>
        <v/>
      </c>
      <c r="X929" s="248" t="str">
        <f>IF(ISBLANK(C929),"",IF((U929&gt;(LOOKUP(E929,WKNrListe,Übersicht!$O$7:$O$46)))+(U929&lt;(LOOKUP(E929,WKNrListe,Übersicht!$P$7:$P$46))),"JG falsch",""))</f>
        <v/>
      </c>
      <c r="Y929" s="255" t="str">
        <f>IF((A929="")*(B929=""),"",IF(ISERROR(MATCH(E929,WKNrListe,0)),"WK falsch",LOOKUP(E929,WKNrListe,Übersicht!$B$7:$B$46)))</f>
        <v/>
      </c>
      <c r="Z929" s="269" t="str">
        <f>IF(((AJ929=0)*(AH929&lt;&gt;"")*(AK929="-"))+((AJ929&lt;&gt;0)*(AH929&lt;&gt;"")*(AK929="-")),IF(AG929="X",Übersicht!$C$70,Übersicht!$C$69),"-")</f>
        <v>-</v>
      </c>
      <c r="AA929" s="252" t="str">
        <f>IF((($A929="")*($B929=""))+((MID($Y929,1,4)&lt;&gt;"Wahl")*(Deckblatt!$C$14='WK-Vorlagen'!$C$82))+(Deckblatt!$C$14&lt;&gt;'WK-Vorlagen'!$C$82),"",IF(ISERROR(MATCH(VALUE(MID(G929,1,2)),Schwierigkeitsstufen!$G$7:$G$19,0)),"Gerät falsch",LOOKUP(VALUE(MID(G929,1,2)),Schwierigkeitsstufen!$G$7:$G$19,Schwierigkeitsstufen!$H$7:$H$19)))</f>
        <v/>
      </c>
      <c r="AB929" s="250" t="str">
        <f>IF((($A929="")*($B929=""))+((MID($Y929,1,4)&lt;&gt;"Wahl")*(Deckblatt!$C$14='WK-Vorlagen'!$C$82))+(Deckblatt!$C$14&lt;&gt;'WK-Vorlagen'!$C$82),"",IF(ISERROR(MATCH(VALUE(MID(H929,1,2)),Schwierigkeitsstufen!$G$7:$G$19,0)),"Gerät falsch",LOOKUP(VALUE(MID(H929,1,2)),Schwierigkeitsstufen!$G$7:$G$19,Schwierigkeitsstufen!$H$7:$H$19)))</f>
        <v/>
      </c>
      <c r="AC929" s="250" t="str">
        <f>IF((($A929="")*($B929=""))+((MID($Y929,1,4)&lt;&gt;"Wahl")*(Deckblatt!$C$14='WK-Vorlagen'!$C$82))+(Deckblatt!$C$14&lt;&gt;'WK-Vorlagen'!$C$82),"",IF(ISERROR(MATCH(VALUE(MID(I929,1,2)),Schwierigkeitsstufen!$G$7:$G$19,0)),"Gerät falsch",LOOKUP(VALUE(MID(I929,1,2)),Schwierigkeitsstufen!$G$7:$G$19,Schwierigkeitsstufen!$H$7:$H$19)))</f>
        <v/>
      </c>
      <c r="AD929" s="251" t="str">
        <f>IF((($A929="")*($B929=""))+((MID($Y929,1,4)&lt;&gt;"Wahl")*(Deckblatt!$C$14='WK-Vorlagen'!$C$82))+(Deckblatt!$C$14&lt;&gt;'WK-Vorlagen'!$C$82),"",IF(ISERROR(MATCH(VALUE(MID(J929,1,2)),Schwierigkeitsstufen!$G$7:$G$19,0)),"Gerät falsch",LOOKUP(VALUE(MID(J929,1,2)),Schwierigkeitsstufen!$G$7:$G$19,Schwierigkeitsstufen!$H$7:$H$19)))</f>
        <v/>
      </c>
      <c r="AE929" s="211"/>
      <c r="AG929" s="221" t="str">
        <f t="shared" si="126"/>
        <v/>
      </c>
      <c r="AH929" s="222" t="str">
        <f t="shared" si="128"/>
        <v/>
      </c>
      <c r="AI929" s="220">
        <f t="shared" si="133"/>
        <v>4</v>
      </c>
      <c r="AJ929" s="222">
        <f t="shared" si="129"/>
        <v>0</v>
      </c>
      <c r="AK929" s="299" t="str">
        <f>IF(ISERROR(LOOKUP(E929,WKNrListe,Übersicht!$R$7:$R$46)),"-",LOOKUP(E929,WKNrListe,Übersicht!$R$7:$R$46))</f>
        <v>-</v>
      </c>
      <c r="AL929" s="299" t="str">
        <f t="shared" si="132"/>
        <v>-</v>
      </c>
      <c r="AM929" s="303"/>
      <c r="AN929" s="174" t="str">
        <f t="shared" si="125"/>
        <v>Leer</v>
      </c>
    </row>
    <row r="930" spans="1:40" s="174" customFormat="1" ht="15" customHeight="1">
      <c r="A930" s="63"/>
      <c r="B930" s="63"/>
      <c r="C930" s="84"/>
      <c r="D930" s="85"/>
      <c r="E930" s="62"/>
      <c r="F930" s="62"/>
      <c r="G930" s="62"/>
      <c r="H930" s="62"/>
      <c r="I930" s="62"/>
      <c r="J930" s="62"/>
      <c r="K930" s="62"/>
      <c r="L930" s="62"/>
      <c r="M930" s="62"/>
      <c r="N930" s="62"/>
      <c r="O930" s="62"/>
      <c r="P930" s="62"/>
      <c r="Q930" s="62"/>
      <c r="R930" s="62"/>
      <c r="S930" s="258"/>
      <c r="T930" s="248" t="str">
        <f t="shared" si="130"/>
        <v/>
      </c>
      <c r="U930" s="249" t="str">
        <f t="shared" si="131"/>
        <v/>
      </c>
      <c r="V930" s="294" t="str">
        <f t="shared" si="127"/>
        <v/>
      </c>
      <c r="W930" s="294" t="str">
        <f>IF(((E930="")+(F930="")),"",IF(VLOOKUP(F930,Mannschaften!$A$1:$B$54,2,FALSE)&lt;&gt;E930,"Reiter Mannschaften füllen",""))</f>
        <v/>
      </c>
      <c r="X930" s="248" t="str">
        <f>IF(ISBLANK(C930),"",IF((U930&gt;(LOOKUP(E930,WKNrListe,Übersicht!$O$7:$O$46)))+(U930&lt;(LOOKUP(E930,WKNrListe,Übersicht!$P$7:$P$46))),"JG falsch",""))</f>
        <v/>
      </c>
      <c r="Y930" s="255" t="str">
        <f>IF((A930="")*(B930=""),"",IF(ISERROR(MATCH(E930,WKNrListe,0)),"WK falsch",LOOKUP(E930,WKNrListe,Übersicht!$B$7:$B$46)))</f>
        <v/>
      </c>
      <c r="Z930" s="269" t="str">
        <f>IF(((AJ930=0)*(AH930&lt;&gt;"")*(AK930="-"))+((AJ930&lt;&gt;0)*(AH930&lt;&gt;"")*(AK930="-")),IF(AG930="X",Übersicht!$C$70,Übersicht!$C$69),"-")</f>
        <v>-</v>
      </c>
      <c r="AA930" s="252" t="str">
        <f>IF((($A930="")*($B930=""))+((MID($Y930,1,4)&lt;&gt;"Wahl")*(Deckblatt!$C$14='WK-Vorlagen'!$C$82))+(Deckblatt!$C$14&lt;&gt;'WK-Vorlagen'!$C$82),"",IF(ISERROR(MATCH(VALUE(MID(G930,1,2)),Schwierigkeitsstufen!$G$7:$G$19,0)),"Gerät falsch",LOOKUP(VALUE(MID(G930,1,2)),Schwierigkeitsstufen!$G$7:$G$19,Schwierigkeitsstufen!$H$7:$H$19)))</f>
        <v/>
      </c>
      <c r="AB930" s="250" t="str">
        <f>IF((($A930="")*($B930=""))+((MID($Y930,1,4)&lt;&gt;"Wahl")*(Deckblatt!$C$14='WK-Vorlagen'!$C$82))+(Deckblatt!$C$14&lt;&gt;'WK-Vorlagen'!$C$82),"",IF(ISERROR(MATCH(VALUE(MID(H930,1,2)),Schwierigkeitsstufen!$G$7:$G$19,0)),"Gerät falsch",LOOKUP(VALUE(MID(H930,1,2)),Schwierigkeitsstufen!$G$7:$G$19,Schwierigkeitsstufen!$H$7:$H$19)))</f>
        <v/>
      </c>
      <c r="AC930" s="250" t="str">
        <f>IF((($A930="")*($B930=""))+((MID($Y930,1,4)&lt;&gt;"Wahl")*(Deckblatt!$C$14='WK-Vorlagen'!$C$82))+(Deckblatt!$C$14&lt;&gt;'WK-Vorlagen'!$C$82),"",IF(ISERROR(MATCH(VALUE(MID(I930,1,2)),Schwierigkeitsstufen!$G$7:$G$19,0)),"Gerät falsch",LOOKUP(VALUE(MID(I930,1,2)),Schwierigkeitsstufen!$G$7:$G$19,Schwierigkeitsstufen!$H$7:$H$19)))</f>
        <v/>
      </c>
      <c r="AD930" s="251" t="str">
        <f>IF((($A930="")*($B930=""))+((MID($Y930,1,4)&lt;&gt;"Wahl")*(Deckblatt!$C$14='WK-Vorlagen'!$C$82))+(Deckblatt!$C$14&lt;&gt;'WK-Vorlagen'!$C$82),"",IF(ISERROR(MATCH(VALUE(MID(J930,1,2)),Schwierigkeitsstufen!$G$7:$G$19,0)),"Gerät falsch",LOOKUP(VALUE(MID(J930,1,2)),Schwierigkeitsstufen!$G$7:$G$19,Schwierigkeitsstufen!$H$7:$H$19)))</f>
        <v/>
      </c>
      <c r="AE930" s="211"/>
      <c r="AG930" s="221" t="str">
        <f t="shared" si="126"/>
        <v/>
      </c>
      <c r="AH930" s="222" t="str">
        <f t="shared" si="128"/>
        <v/>
      </c>
      <c r="AI930" s="220">
        <f t="shared" si="133"/>
        <v>4</v>
      </c>
      <c r="AJ930" s="222">
        <f t="shared" si="129"/>
        <v>0</v>
      </c>
      <c r="AK930" s="299" t="str">
        <f>IF(ISERROR(LOOKUP(E930,WKNrListe,Übersicht!$R$7:$R$46)),"-",LOOKUP(E930,WKNrListe,Übersicht!$R$7:$R$46))</f>
        <v>-</v>
      </c>
      <c r="AL930" s="299" t="str">
        <f t="shared" si="132"/>
        <v>-</v>
      </c>
      <c r="AM930" s="303"/>
      <c r="AN930" s="174" t="str">
        <f t="shared" si="125"/>
        <v>Leer</v>
      </c>
    </row>
    <row r="931" spans="1:40" s="174" customFormat="1" ht="15" customHeight="1">
      <c r="A931" s="63"/>
      <c r="B931" s="63"/>
      <c r="C931" s="84"/>
      <c r="D931" s="85"/>
      <c r="E931" s="62"/>
      <c r="F931" s="62"/>
      <c r="G931" s="62"/>
      <c r="H931" s="62"/>
      <c r="I931" s="62"/>
      <c r="J931" s="62"/>
      <c r="K931" s="62"/>
      <c r="L931" s="62"/>
      <c r="M931" s="62"/>
      <c r="N931" s="62"/>
      <c r="O931" s="62"/>
      <c r="P931" s="62"/>
      <c r="Q931" s="62"/>
      <c r="R931" s="62"/>
      <c r="S931" s="258"/>
      <c r="T931" s="248" t="str">
        <f t="shared" si="130"/>
        <v/>
      </c>
      <c r="U931" s="249" t="str">
        <f t="shared" si="131"/>
        <v/>
      </c>
      <c r="V931" s="294" t="str">
        <f t="shared" si="127"/>
        <v/>
      </c>
      <c r="W931" s="294" t="str">
        <f>IF(((E931="")+(F931="")),"",IF(VLOOKUP(F931,Mannschaften!$A$1:$B$54,2,FALSE)&lt;&gt;E931,"Reiter Mannschaften füllen",""))</f>
        <v/>
      </c>
      <c r="X931" s="248" t="str">
        <f>IF(ISBLANK(C931),"",IF((U931&gt;(LOOKUP(E931,WKNrListe,Übersicht!$O$7:$O$46)))+(U931&lt;(LOOKUP(E931,WKNrListe,Übersicht!$P$7:$P$46))),"JG falsch",""))</f>
        <v/>
      </c>
      <c r="Y931" s="255" t="str">
        <f>IF((A931="")*(B931=""),"",IF(ISERROR(MATCH(E931,WKNrListe,0)),"WK falsch",LOOKUP(E931,WKNrListe,Übersicht!$B$7:$B$46)))</f>
        <v/>
      </c>
      <c r="Z931" s="269" t="str">
        <f>IF(((AJ931=0)*(AH931&lt;&gt;"")*(AK931="-"))+((AJ931&lt;&gt;0)*(AH931&lt;&gt;"")*(AK931="-")),IF(AG931="X",Übersicht!$C$70,Übersicht!$C$69),"-")</f>
        <v>-</v>
      </c>
      <c r="AA931" s="252" t="str">
        <f>IF((($A931="")*($B931=""))+((MID($Y931,1,4)&lt;&gt;"Wahl")*(Deckblatt!$C$14='WK-Vorlagen'!$C$82))+(Deckblatt!$C$14&lt;&gt;'WK-Vorlagen'!$C$82),"",IF(ISERROR(MATCH(VALUE(MID(G931,1,2)),Schwierigkeitsstufen!$G$7:$G$19,0)),"Gerät falsch",LOOKUP(VALUE(MID(G931,1,2)),Schwierigkeitsstufen!$G$7:$G$19,Schwierigkeitsstufen!$H$7:$H$19)))</f>
        <v/>
      </c>
      <c r="AB931" s="250" t="str">
        <f>IF((($A931="")*($B931=""))+((MID($Y931,1,4)&lt;&gt;"Wahl")*(Deckblatt!$C$14='WK-Vorlagen'!$C$82))+(Deckblatt!$C$14&lt;&gt;'WK-Vorlagen'!$C$82),"",IF(ISERROR(MATCH(VALUE(MID(H931,1,2)),Schwierigkeitsstufen!$G$7:$G$19,0)),"Gerät falsch",LOOKUP(VALUE(MID(H931,1,2)),Schwierigkeitsstufen!$G$7:$G$19,Schwierigkeitsstufen!$H$7:$H$19)))</f>
        <v/>
      </c>
      <c r="AC931" s="250" t="str">
        <f>IF((($A931="")*($B931=""))+((MID($Y931,1,4)&lt;&gt;"Wahl")*(Deckblatt!$C$14='WK-Vorlagen'!$C$82))+(Deckblatt!$C$14&lt;&gt;'WK-Vorlagen'!$C$82),"",IF(ISERROR(MATCH(VALUE(MID(I931,1,2)),Schwierigkeitsstufen!$G$7:$G$19,0)),"Gerät falsch",LOOKUP(VALUE(MID(I931,1,2)),Schwierigkeitsstufen!$G$7:$G$19,Schwierigkeitsstufen!$H$7:$H$19)))</f>
        <v/>
      </c>
      <c r="AD931" s="251" t="str">
        <f>IF((($A931="")*($B931=""))+((MID($Y931,1,4)&lt;&gt;"Wahl")*(Deckblatt!$C$14='WK-Vorlagen'!$C$82))+(Deckblatt!$C$14&lt;&gt;'WK-Vorlagen'!$C$82),"",IF(ISERROR(MATCH(VALUE(MID(J931,1,2)),Schwierigkeitsstufen!$G$7:$G$19,0)),"Gerät falsch",LOOKUP(VALUE(MID(J931,1,2)),Schwierigkeitsstufen!$G$7:$G$19,Schwierigkeitsstufen!$H$7:$H$19)))</f>
        <v/>
      </c>
      <c r="AE931" s="211"/>
      <c r="AG931" s="221" t="str">
        <f t="shared" si="126"/>
        <v/>
      </c>
      <c r="AH931" s="222" t="str">
        <f t="shared" si="128"/>
        <v/>
      </c>
      <c r="AI931" s="220">
        <f t="shared" si="133"/>
        <v>4</v>
      </c>
      <c r="AJ931" s="222">
        <f t="shared" si="129"/>
        <v>0</v>
      </c>
      <c r="AK931" s="299" t="str">
        <f>IF(ISERROR(LOOKUP(E931,WKNrListe,Übersicht!$R$7:$R$46)),"-",LOOKUP(E931,WKNrListe,Übersicht!$R$7:$R$46))</f>
        <v>-</v>
      </c>
      <c r="AL931" s="299" t="str">
        <f t="shared" si="132"/>
        <v>-</v>
      </c>
      <c r="AM931" s="303"/>
      <c r="AN931" s="174" t="str">
        <f t="shared" si="125"/>
        <v>Leer</v>
      </c>
    </row>
    <row r="932" spans="1:40" s="174" customFormat="1" ht="15" customHeight="1">
      <c r="A932" s="63"/>
      <c r="B932" s="63"/>
      <c r="C932" s="84"/>
      <c r="D932" s="85"/>
      <c r="E932" s="62"/>
      <c r="F932" s="62"/>
      <c r="G932" s="62"/>
      <c r="H932" s="62"/>
      <c r="I932" s="62"/>
      <c r="J932" s="62"/>
      <c r="K932" s="62"/>
      <c r="L932" s="62"/>
      <c r="M932" s="62"/>
      <c r="N932" s="62"/>
      <c r="O932" s="62"/>
      <c r="P932" s="62"/>
      <c r="Q932" s="62"/>
      <c r="R932" s="62"/>
      <c r="S932" s="258"/>
      <c r="T932" s="248" t="str">
        <f t="shared" si="130"/>
        <v/>
      </c>
      <c r="U932" s="249" t="str">
        <f t="shared" si="131"/>
        <v/>
      </c>
      <c r="V932" s="294" t="str">
        <f t="shared" si="127"/>
        <v/>
      </c>
      <c r="W932" s="294" t="str">
        <f>IF(((E932="")+(F932="")),"",IF(VLOOKUP(F932,Mannschaften!$A$1:$B$54,2,FALSE)&lt;&gt;E932,"Reiter Mannschaften füllen",""))</f>
        <v/>
      </c>
      <c r="X932" s="248" t="str">
        <f>IF(ISBLANK(C932),"",IF((U932&gt;(LOOKUP(E932,WKNrListe,Übersicht!$O$7:$O$46)))+(U932&lt;(LOOKUP(E932,WKNrListe,Übersicht!$P$7:$P$46))),"JG falsch",""))</f>
        <v/>
      </c>
      <c r="Y932" s="255" t="str">
        <f>IF((A932="")*(B932=""),"",IF(ISERROR(MATCH(E932,WKNrListe,0)),"WK falsch",LOOKUP(E932,WKNrListe,Übersicht!$B$7:$B$46)))</f>
        <v/>
      </c>
      <c r="Z932" s="269" t="str">
        <f>IF(((AJ932=0)*(AH932&lt;&gt;"")*(AK932="-"))+((AJ932&lt;&gt;0)*(AH932&lt;&gt;"")*(AK932="-")),IF(AG932="X",Übersicht!$C$70,Übersicht!$C$69),"-")</f>
        <v>-</v>
      </c>
      <c r="AA932" s="252" t="str">
        <f>IF((($A932="")*($B932=""))+((MID($Y932,1,4)&lt;&gt;"Wahl")*(Deckblatt!$C$14='WK-Vorlagen'!$C$82))+(Deckblatt!$C$14&lt;&gt;'WK-Vorlagen'!$C$82),"",IF(ISERROR(MATCH(VALUE(MID(G932,1,2)),Schwierigkeitsstufen!$G$7:$G$19,0)),"Gerät falsch",LOOKUP(VALUE(MID(G932,1,2)),Schwierigkeitsstufen!$G$7:$G$19,Schwierigkeitsstufen!$H$7:$H$19)))</f>
        <v/>
      </c>
      <c r="AB932" s="250" t="str">
        <f>IF((($A932="")*($B932=""))+((MID($Y932,1,4)&lt;&gt;"Wahl")*(Deckblatt!$C$14='WK-Vorlagen'!$C$82))+(Deckblatt!$C$14&lt;&gt;'WK-Vorlagen'!$C$82),"",IF(ISERROR(MATCH(VALUE(MID(H932,1,2)),Schwierigkeitsstufen!$G$7:$G$19,0)),"Gerät falsch",LOOKUP(VALUE(MID(H932,1,2)),Schwierigkeitsstufen!$G$7:$G$19,Schwierigkeitsstufen!$H$7:$H$19)))</f>
        <v/>
      </c>
      <c r="AC932" s="250" t="str">
        <f>IF((($A932="")*($B932=""))+((MID($Y932,1,4)&lt;&gt;"Wahl")*(Deckblatt!$C$14='WK-Vorlagen'!$C$82))+(Deckblatt!$C$14&lt;&gt;'WK-Vorlagen'!$C$82),"",IF(ISERROR(MATCH(VALUE(MID(I932,1,2)),Schwierigkeitsstufen!$G$7:$G$19,0)),"Gerät falsch",LOOKUP(VALUE(MID(I932,1,2)),Schwierigkeitsstufen!$G$7:$G$19,Schwierigkeitsstufen!$H$7:$H$19)))</f>
        <v/>
      </c>
      <c r="AD932" s="251" t="str">
        <f>IF((($A932="")*($B932=""))+((MID($Y932,1,4)&lt;&gt;"Wahl")*(Deckblatt!$C$14='WK-Vorlagen'!$C$82))+(Deckblatt!$C$14&lt;&gt;'WK-Vorlagen'!$C$82),"",IF(ISERROR(MATCH(VALUE(MID(J932,1,2)),Schwierigkeitsstufen!$G$7:$G$19,0)),"Gerät falsch",LOOKUP(VALUE(MID(J932,1,2)),Schwierigkeitsstufen!$G$7:$G$19,Schwierigkeitsstufen!$H$7:$H$19)))</f>
        <v/>
      </c>
      <c r="AE932" s="211"/>
      <c r="AG932" s="221" t="str">
        <f t="shared" si="126"/>
        <v/>
      </c>
      <c r="AH932" s="222" t="str">
        <f t="shared" si="128"/>
        <v/>
      </c>
      <c r="AI932" s="220">
        <f t="shared" si="133"/>
        <v>4</v>
      </c>
      <c r="AJ932" s="222">
        <f t="shared" si="129"/>
        <v>0</v>
      </c>
      <c r="AK932" s="299" t="str">
        <f>IF(ISERROR(LOOKUP(E932,WKNrListe,Übersicht!$R$7:$R$46)),"-",LOOKUP(E932,WKNrListe,Übersicht!$R$7:$R$46))</f>
        <v>-</v>
      </c>
      <c r="AL932" s="299" t="str">
        <f t="shared" si="132"/>
        <v>-</v>
      </c>
      <c r="AM932" s="303"/>
      <c r="AN932" s="174" t="str">
        <f t="shared" si="125"/>
        <v>Leer</v>
      </c>
    </row>
    <row r="933" spans="1:40" s="174" customFormat="1" ht="15" customHeight="1">
      <c r="A933" s="63"/>
      <c r="B933" s="63"/>
      <c r="C933" s="84"/>
      <c r="D933" s="85"/>
      <c r="E933" s="62"/>
      <c r="F933" s="62"/>
      <c r="G933" s="62"/>
      <c r="H933" s="62"/>
      <c r="I933" s="62"/>
      <c r="J933" s="62"/>
      <c r="K933" s="62"/>
      <c r="L933" s="62"/>
      <c r="M933" s="62"/>
      <c r="N933" s="62"/>
      <c r="O933" s="62"/>
      <c r="P933" s="62"/>
      <c r="Q933" s="62"/>
      <c r="R933" s="62"/>
      <c r="S933" s="258"/>
      <c r="T933" s="248" t="str">
        <f t="shared" si="130"/>
        <v/>
      </c>
      <c r="U933" s="249" t="str">
        <f t="shared" si="131"/>
        <v/>
      </c>
      <c r="V933" s="294" t="str">
        <f t="shared" si="127"/>
        <v/>
      </c>
      <c r="W933" s="294" t="str">
        <f>IF(((E933="")+(F933="")),"",IF(VLOOKUP(F933,Mannschaften!$A$1:$B$54,2,FALSE)&lt;&gt;E933,"Reiter Mannschaften füllen",""))</f>
        <v/>
      </c>
      <c r="X933" s="248" t="str">
        <f>IF(ISBLANK(C933),"",IF((U933&gt;(LOOKUP(E933,WKNrListe,Übersicht!$O$7:$O$46)))+(U933&lt;(LOOKUP(E933,WKNrListe,Übersicht!$P$7:$P$46))),"JG falsch",""))</f>
        <v/>
      </c>
      <c r="Y933" s="255" t="str">
        <f>IF((A933="")*(B933=""),"",IF(ISERROR(MATCH(E933,WKNrListe,0)),"WK falsch",LOOKUP(E933,WKNrListe,Übersicht!$B$7:$B$46)))</f>
        <v/>
      </c>
      <c r="Z933" s="269" t="str">
        <f>IF(((AJ933=0)*(AH933&lt;&gt;"")*(AK933="-"))+((AJ933&lt;&gt;0)*(AH933&lt;&gt;"")*(AK933="-")),IF(AG933="X",Übersicht!$C$70,Übersicht!$C$69),"-")</f>
        <v>-</v>
      </c>
      <c r="AA933" s="252" t="str">
        <f>IF((($A933="")*($B933=""))+((MID($Y933,1,4)&lt;&gt;"Wahl")*(Deckblatt!$C$14='WK-Vorlagen'!$C$82))+(Deckblatt!$C$14&lt;&gt;'WK-Vorlagen'!$C$82),"",IF(ISERROR(MATCH(VALUE(MID(G933,1,2)),Schwierigkeitsstufen!$G$7:$G$19,0)),"Gerät falsch",LOOKUP(VALUE(MID(G933,1,2)),Schwierigkeitsstufen!$G$7:$G$19,Schwierigkeitsstufen!$H$7:$H$19)))</f>
        <v/>
      </c>
      <c r="AB933" s="250" t="str">
        <f>IF((($A933="")*($B933=""))+((MID($Y933,1,4)&lt;&gt;"Wahl")*(Deckblatt!$C$14='WK-Vorlagen'!$C$82))+(Deckblatt!$C$14&lt;&gt;'WK-Vorlagen'!$C$82),"",IF(ISERROR(MATCH(VALUE(MID(H933,1,2)),Schwierigkeitsstufen!$G$7:$G$19,0)),"Gerät falsch",LOOKUP(VALUE(MID(H933,1,2)),Schwierigkeitsstufen!$G$7:$G$19,Schwierigkeitsstufen!$H$7:$H$19)))</f>
        <v/>
      </c>
      <c r="AC933" s="250" t="str">
        <f>IF((($A933="")*($B933=""))+((MID($Y933,1,4)&lt;&gt;"Wahl")*(Deckblatt!$C$14='WK-Vorlagen'!$C$82))+(Deckblatt!$C$14&lt;&gt;'WK-Vorlagen'!$C$82),"",IF(ISERROR(MATCH(VALUE(MID(I933,1,2)),Schwierigkeitsstufen!$G$7:$G$19,0)),"Gerät falsch",LOOKUP(VALUE(MID(I933,1,2)),Schwierigkeitsstufen!$G$7:$G$19,Schwierigkeitsstufen!$H$7:$H$19)))</f>
        <v/>
      </c>
      <c r="AD933" s="251" t="str">
        <f>IF((($A933="")*($B933=""))+((MID($Y933,1,4)&lt;&gt;"Wahl")*(Deckblatt!$C$14='WK-Vorlagen'!$C$82))+(Deckblatt!$C$14&lt;&gt;'WK-Vorlagen'!$C$82),"",IF(ISERROR(MATCH(VALUE(MID(J933,1,2)),Schwierigkeitsstufen!$G$7:$G$19,0)),"Gerät falsch",LOOKUP(VALUE(MID(J933,1,2)),Schwierigkeitsstufen!$G$7:$G$19,Schwierigkeitsstufen!$H$7:$H$19)))</f>
        <v/>
      </c>
      <c r="AE933" s="211"/>
      <c r="AG933" s="221" t="str">
        <f t="shared" si="126"/>
        <v/>
      </c>
      <c r="AH933" s="222" t="str">
        <f t="shared" si="128"/>
        <v/>
      </c>
      <c r="AI933" s="220">
        <f t="shared" si="133"/>
        <v>4</v>
      </c>
      <c r="AJ933" s="222">
        <f t="shared" si="129"/>
        <v>0</v>
      </c>
      <c r="AK933" s="299" t="str">
        <f>IF(ISERROR(LOOKUP(E933,WKNrListe,Übersicht!$R$7:$R$46)),"-",LOOKUP(E933,WKNrListe,Übersicht!$R$7:$R$46))</f>
        <v>-</v>
      </c>
      <c r="AL933" s="299" t="str">
        <f t="shared" si="132"/>
        <v>-</v>
      </c>
      <c r="AM933" s="303"/>
      <c r="AN933" s="174" t="str">
        <f t="shared" si="125"/>
        <v>Leer</v>
      </c>
    </row>
    <row r="934" spans="1:40" s="174" customFormat="1" ht="15" customHeight="1">
      <c r="A934" s="63"/>
      <c r="B934" s="63"/>
      <c r="C934" s="84"/>
      <c r="D934" s="85"/>
      <c r="E934" s="62"/>
      <c r="F934" s="62"/>
      <c r="G934" s="62"/>
      <c r="H934" s="62"/>
      <c r="I934" s="62"/>
      <c r="J934" s="62"/>
      <c r="K934" s="62"/>
      <c r="L934" s="62"/>
      <c r="M934" s="62"/>
      <c r="N934" s="62"/>
      <c r="O934" s="62"/>
      <c r="P934" s="62"/>
      <c r="Q934" s="62"/>
      <c r="R934" s="62"/>
      <c r="S934" s="258"/>
      <c r="T934" s="248" t="str">
        <f t="shared" si="130"/>
        <v/>
      </c>
      <c r="U934" s="249" t="str">
        <f t="shared" si="131"/>
        <v/>
      </c>
      <c r="V934" s="294" t="str">
        <f t="shared" si="127"/>
        <v/>
      </c>
      <c r="W934" s="294" t="str">
        <f>IF(((E934="")+(F934="")),"",IF(VLOOKUP(F934,Mannschaften!$A$1:$B$54,2,FALSE)&lt;&gt;E934,"Reiter Mannschaften füllen",""))</f>
        <v/>
      </c>
      <c r="X934" s="248" t="str">
        <f>IF(ISBLANK(C934),"",IF((U934&gt;(LOOKUP(E934,WKNrListe,Übersicht!$O$7:$O$46)))+(U934&lt;(LOOKUP(E934,WKNrListe,Übersicht!$P$7:$P$46))),"JG falsch",""))</f>
        <v/>
      </c>
      <c r="Y934" s="255" t="str">
        <f>IF((A934="")*(B934=""),"",IF(ISERROR(MATCH(E934,WKNrListe,0)),"WK falsch",LOOKUP(E934,WKNrListe,Übersicht!$B$7:$B$46)))</f>
        <v/>
      </c>
      <c r="Z934" s="269" t="str">
        <f>IF(((AJ934=0)*(AH934&lt;&gt;"")*(AK934="-"))+((AJ934&lt;&gt;0)*(AH934&lt;&gt;"")*(AK934="-")),IF(AG934="X",Übersicht!$C$70,Übersicht!$C$69),"-")</f>
        <v>-</v>
      </c>
      <c r="AA934" s="252" t="str">
        <f>IF((($A934="")*($B934=""))+((MID($Y934,1,4)&lt;&gt;"Wahl")*(Deckblatt!$C$14='WK-Vorlagen'!$C$82))+(Deckblatt!$C$14&lt;&gt;'WK-Vorlagen'!$C$82),"",IF(ISERROR(MATCH(VALUE(MID(G934,1,2)),Schwierigkeitsstufen!$G$7:$G$19,0)),"Gerät falsch",LOOKUP(VALUE(MID(G934,1,2)),Schwierigkeitsstufen!$G$7:$G$19,Schwierigkeitsstufen!$H$7:$H$19)))</f>
        <v/>
      </c>
      <c r="AB934" s="250" t="str">
        <f>IF((($A934="")*($B934=""))+((MID($Y934,1,4)&lt;&gt;"Wahl")*(Deckblatt!$C$14='WK-Vorlagen'!$C$82))+(Deckblatt!$C$14&lt;&gt;'WK-Vorlagen'!$C$82),"",IF(ISERROR(MATCH(VALUE(MID(H934,1,2)),Schwierigkeitsstufen!$G$7:$G$19,0)),"Gerät falsch",LOOKUP(VALUE(MID(H934,1,2)),Schwierigkeitsstufen!$G$7:$G$19,Schwierigkeitsstufen!$H$7:$H$19)))</f>
        <v/>
      </c>
      <c r="AC934" s="250" t="str">
        <f>IF((($A934="")*($B934=""))+((MID($Y934,1,4)&lt;&gt;"Wahl")*(Deckblatt!$C$14='WK-Vorlagen'!$C$82))+(Deckblatt!$C$14&lt;&gt;'WK-Vorlagen'!$C$82),"",IF(ISERROR(MATCH(VALUE(MID(I934,1,2)),Schwierigkeitsstufen!$G$7:$G$19,0)),"Gerät falsch",LOOKUP(VALUE(MID(I934,1,2)),Schwierigkeitsstufen!$G$7:$G$19,Schwierigkeitsstufen!$H$7:$H$19)))</f>
        <v/>
      </c>
      <c r="AD934" s="251" t="str">
        <f>IF((($A934="")*($B934=""))+((MID($Y934,1,4)&lt;&gt;"Wahl")*(Deckblatt!$C$14='WK-Vorlagen'!$C$82))+(Deckblatt!$C$14&lt;&gt;'WK-Vorlagen'!$C$82),"",IF(ISERROR(MATCH(VALUE(MID(J934,1,2)),Schwierigkeitsstufen!$G$7:$G$19,0)),"Gerät falsch",LOOKUP(VALUE(MID(J934,1,2)),Schwierigkeitsstufen!$G$7:$G$19,Schwierigkeitsstufen!$H$7:$H$19)))</f>
        <v/>
      </c>
      <c r="AE934" s="211"/>
      <c r="AG934" s="221" t="str">
        <f t="shared" si="126"/>
        <v/>
      </c>
      <c r="AH934" s="222" t="str">
        <f t="shared" si="128"/>
        <v/>
      </c>
      <c r="AI934" s="220">
        <f t="shared" si="133"/>
        <v>4</v>
      </c>
      <c r="AJ934" s="222">
        <f t="shared" si="129"/>
        <v>0</v>
      </c>
      <c r="AK934" s="299" t="str">
        <f>IF(ISERROR(LOOKUP(E934,WKNrListe,Übersicht!$R$7:$R$46)),"-",LOOKUP(E934,WKNrListe,Übersicht!$R$7:$R$46))</f>
        <v>-</v>
      </c>
      <c r="AL934" s="299" t="str">
        <f t="shared" si="132"/>
        <v>-</v>
      </c>
      <c r="AM934" s="303"/>
      <c r="AN934" s="174" t="str">
        <f t="shared" si="125"/>
        <v>Leer</v>
      </c>
    </row>
    <row r="935" spans="1:40" s="174" customFormat="1" ht="15" customHeight="1">
      <c r="A935" s="63"/>
      <c r="B935" s="63"/>
      <c r="C935" s="84"/>
      <c r="D935" s="85"/>
      <c r="E935" s="62"/>
      <c r="F935" s="62"/>
      <c r="G935" s="62"/>
      <c r="H935" s="62"/>
      <c r="I935" s="62"/>
      <c r="J935" s="62"/>
      <c r="K935" s="62"/>
      <c r="L935" s="62"/>
      <c r="M935" s="62"/>
      <c r="N935" s="62"/>
      <c r="O935" s="62"/>
      <c r="P935" s="62"/>
      <c r="Q935" s="62"/>
      <c r="R935" s="62"/>
      <c r="S935" s="258"/>
      <c r="T935" s="248" t="str">
        <f t="shared" si="130"/>
        <v/>
      </c>
      <c r="U935" s="249" t="str">
        <f t="shared" si="131"/>
        <v/>
      </c>
      <c r="V935" s="294" t="str">
        <f t="shared" si="127"/>
        <v/>
      </c>
      <c r="W935" s="294" t="str">
        <f>IF(((E935="")+(F935="")),"",IF(VLOOKUP(F935,Mannschaften!$A$1:$B$54,2,FALSE)&lt;&gt;E935,"Reiter Mannschaften füllen",""))</f>
        <v/>
      </c>
      <c r="X935" s="248" t="str">
        <f>IF(ISBLANK(C935),"",IF((U935&gt;(LOOKUP(E935,WKNrListe,Übersicht!$O$7:$O$46)))+(U935&lt;(LOOKUP(E935,WKNrListe,Übersicht!$P$7:$P$46))),"JG falsch",""))</f>
        <v/>
      </c>
      <c r="Y935" s="255" t="str">
        <f>IF((A935="")*(B935=""),"",IF(ISERROR(MATCH(E935,WKNrListe,0)),"WK falsch",LOOKUP(E935,WKNrListe,Übersicht!$B$7:$B$46)))</f>
        <v/>
      </c>
      <c r="Z935" s="269" t="str">
        <f>IF(((AJ935=0)*(AH935&lt;&gt;"")*(AK935="-"))+((AJ935&lt;&gt;0)*(AH935&lt;&gt;"")*(AK935="-")),IF(AG935="X",Übersicht!$C$70,Übersicht!$C$69),"-")</f>
        <v>-</v>
      </c>
      <c r="AA935" s="252" t="str">
        <f>IF((($A935="")*($B935=""))+((MID($Y935,1,4)&lt;&gt;"Wahl")*(Deckblatt!$C$14='WK-Vorlagen'!$C$82))+(Deckblatt!$C$14&lt;&gt;'WK-Vorlagen'!$C$82),"",IF(ISERROR(MATCH(VALUE(MID(G935,1,2)),Schwierigkeitsstufen!$G$7:$G$19,0)),"Gerät falsch",LOOKUP(VALUE(MID(G935,1,2)),Schwierigkeitsstufen!$G$7:$G$19,Schwierigkeitsstufen!$H$7:$H$19)))</f>
        <v/>
      </c>
      <c r="AB935" s="250" t="str">
        <f>IF((($A935="")*($B935=""))+((MID($Y935,1,4)&lt;&gt;"Wahl")*(Deckblatt!$C$14='WK-Vorlagen'!$C$82))+(Deckblatt!$C$14&lt;&gt;'WK-Vorlagen'!$C$82),"",IF(ISERROR(MATCH(VALUE(MID(H935,1,2)),Schwierigkeitsstufen!$G$7:$G$19,0)),"Gerät falsch",LOOKUP(VALUE(MID(H935,1,2)),Schwierigkeitsstufen!$G$7:$G$19,Schwierigkeitsstufen!$H$7:$H$19)))</f>
        <v/>
      </c>
      <c r="AC935" s="250" t="str">
        <f>IF((($A935="")*($B935=""))+((MID($Y935,1,4)&lt;&gt;"Wahl")*(Deckblatt!$C$14='WK-Vorlagen'!$C$82))+(Deckblatt!$C$14&lt;&gt;'WK-Vorlagen'!$C$82),"",IF(ISERROR(MATCH(VALUE(MID(I935,1,2)),Schwierigkeitsstufen!$G$7:$G$19,0)),"Gerät falsch",LOOKUP(VALUE(MID(I935,1,2)),Schwierigkeitsstufen!$G$7:$G$19,Schwierigkeitsstufen!$H$7:$H$19)))</f>
        <v/>
      </c>
      <c r="AD935" s="251" t="str">
        <f>IF((($A935="")*($B935=""))+((MID($Y935,1,4)&lt;&gt;"Wahl")*(Deckblatt!$C$14='WK-Vorlagen'!$C$82))+(Deckblatt!$C$14&lt;&gt;'WK-Vorlagen'!$C$82),"",IF(ISERROR(MATCH(VALUE(MID(J935,1,2)),Schwierigkeitsstufen!$G$7:$G$19,0)),"Gerät falsch",LOOKUP(VALUE(MID(J935,1,2)),Schwierigkeitsstufen!$G$7:$G$19,Schwierigkeitsstufen!$H$7:$H$19)))</f>
        <v/>
      </c>
      <c r="AE935" s="211"/>
      <c r="AG935" s="221" t="str">
        <f t="shared" si="126"/>
        <v/>
      </c>
      <c r="AH935" s="222" t="str">
        <f t="shared" si="128"/>
        <v/>
      </c>
      <c r="AI935" s="220">
        <f t="shared" si="133"/>
        <v>4</v>
      </c>
      <c r="AJ935" s="222">
        <f t="shared" si="129"/>
        <v>0</v>
      </c>
      <c r="AK935" s="299" t="str">
        <f>IF(ISERROR(LOOKUP(E935,WKNrListe,Übersicht!$R$7:$R$46)),"-",LOOKUP(E935,WKNrListe,Übersicht!$R$7:$R$46))</f>
        <v>-</v>
      </c>
      <c r="AL935" s="299" t="str">
        <f t="shared" si="132"/>
        <v>-</v>
      </c>
      <c r="AM935" s="303"/>
      <c r="AN935" s="174" t="str">
        <f t="shared" si="125"/>
        <v>Leer</v>
      </c>
    </row>
    <row r="936" spans="1:40" s="174" customFormat="1" ht="15" customHeight="1">
      <c r="A936" s="63"/>
      <c r="B936" s="63"/>
      <c r="C936" s="84"/>
      <c r="D936" s="85"/>
      <c r="E936" s="62"/>
      <c r="F936" s="62"/>
      <c r="G936" s="62"/>
      <c r="H936" s="62"/>
      <c r="I936" s="62"/>
      <c r="J936" s="62"/>
      <c r="K936" s="62"/>
      <c r="L936" s="62"/>
      <c r="M936" s="62"/>
      <c r="N936" s="62"/>
      <c r="O936" s="62"/>
      <c r="P936" s="62"/>
      <c r="Q936" s="62"/>
      <c r="R936" s="62"/>
      <c r="S936" s="258"/>
      <c r="T936" s="248" t="str">
        <f t="shared" si="130"/>
        <v/>
      </c>
      <c r="U936" s="249" t="str">
        <f t="shared" si="131"/>
        <v/>
      </c>
      <c r="V936" s="294" t="str">
        <f t="shared" si="127"/>
        <v/>
      </c>
      <c r="W936" s="294" t="str">
        <f>IF(((E936="")+(F936="")),"",IF(VLOOKUP(F936,Mannschaften!$A$1:$B$54,2,FALSE)&lt;&gt;E936,"Reiter Mannschaften füllen",""))</f>
        <v/>
      </c>
      <c r="X936" s="248" t="str">
        <f>IF(ISBLANK(C936),"",IF((U936&gt;(LOOKUP(E936,WKNrListe,Übersicht!$O$7:$O$46)))+(U936&lt;(LOOKUP(E936,WKNrListe,Übersicht!$P$7:$P$46))),"JG falsch",""))</f>
        <v/>
      </c>
      <c r="Y936" s="255" t="str">
        <f>IF((A936="")*(B936=""),"",IF(ISERROR(MATCH(E936,WKNrListe,0)),"WK falsch",LOOKUP(E936,WKNrListe,Übersicht!$B$7:$B$46)))</f>
        <v/>
      </c>
      <c r="Z936" s="269" t="str">
        <f>IF(((AJ936=0)*(AH936&lt;&gt;"")*(AK936="-"))+((AJ936&lt;&gt;0)*(AH936&lt;&gt;"")*(AK936="-")),IF(AG936="X",Übersicht!$C$70,Übersicht!$C$69),"-")</f>
        <v>-</v>
      </c>
      <c r="AA936" s="252" t="str">
        <f>IF((($A936="")*($B936=""))+((MID($Y936,1,4)&lt;&gt;"Wahl")*(Deckblatt!$C$14='WK-Vorlagen'!$C$82))+(Deckblatt!$C$14&lt;&gt;'WK-Vorlagen'!$C$82),"",IF(ISERROR(MATCH(VALUE(MID(G936,1,2)),Schwierigkeitsstufen!$G$7:$G$19,0)),"Gerät falsch",LOOKUP(VALUE(MID(G936,1,2)),Schwierigkeitsstufen!$G$7:$G$19,Schwierigkeitsstufen!$H$7:$H$19)))</f>
        <v/>
      </c>
      <c r="AB936" s="250" t="str">
        <f>IF((($A936="")*($B936=""))+((MID($Y936,1,4)&lt;&gt;"Wahl")*(Deckblatt!$C$14='WK-Vorlagen'!$C$82))+(Deckblatt!$C$14&lt;&gt;'WK-Vorlagen'!$C$82),"",IF(ISERROR(MATCH(VALUE(MID(H936,1,2)),Schwierigkeitsstufen!$G$7:$G$19,0)),"Gerät falsch",LOOKUP(VALUE(MID(H936,1,2)),Schwierigkeitsstufen!$G$7:$G$19,Schwierigkeitsstufen!$H$7:$H$19)))</f>
        <v/>
      </c>
      <c r="AC936" s="250" t="str">
        <f>IF((($A936="")*($B936=""))+((MID($Y936,1,4)&lt;&gt;"Wahl")*(Deckblatt!$C$14='WK-Vorlagen'!$C$82))+(Deckblatt!$C$14&lt;&gt;'WK-Vorlagen'!$C$82),"",IF(ISERROR(MATCH(VALUE(MID(I936,1,2)),Schwierigkeitsstufen!$G$7:$G$19,0)),"Gerät falsch",LOOKUP(VALUE(MID(I936,1,2)),Schwierigkeitsstufen!$G$7:$G$19,Schwierigkeitsstufen!$H$7:$H$19)))</f>
        <v/>
      </c>
      <c r="AD936" s="251" t="str">
        <f>IF((($A936="")*($B936=""))+((MID($Y936,1,4)&lt;&gt;"Wahl")*(Deckblatt!$C$14='WK-Vorlagen'!$C$82))+(Deckblatt!$C$14&lt;&gt;'WK-Vorlagen'!$C$82),"",IF(ISERROR(MATCH(VALUE(MID(J936,1,2)),Schwierigkeitsstufen!$G$7:$G$19,0)),"Gerät falsch",LOOKUP(VALUE(MID(J936,1,2)),Schwierigkeitsstufen!$G$7:$G$19,Schwierigkeitsstufen!$H$7:$H$19)))</f>
        <v/>
      </c>
      <c r="AE936" s="211"/>
      <c r="AG936" s="221" t="str">
        <f t="shared" si="126"/>
        <v/>
      </c>
      <c r="AH936" s="222" t="str">
        <f t="shared" si="128"/>
        <v/>
      </c>
      <c r="AI936" s="220">
        <f t="shared" si="133"/>
        <v>4</v>
      </c>
      <c r="AJ936" s="222">
        <f t="shared" si="129"/>
        <v>0</v>
      </c>
      <c r="AK936" s="299" t="str">
        <f>IF(ISERROR(LOOKUP(E936,WKNrListe,Übersicht!$R$7:$R$46)),"-",LOOKUP(E936,WKNrListe,Übersicht!$R$7:$R$46))</f>
        <v>-</v>
      </c>
      <c r="AL936" s="299" t="str">
        <f t="shared" si="132"/>
        <v>-</v>
      </c>
      <c r="AM936" s="303"/>
      <c r="AN936" s="174" t="str">
        <f t="shared" si="125"/>
        <v>Leer</v>
      </c>
    </row>
    <row r="937" spans="1:40" s="174" customFormat="1" ht="15" customHeight="1">
      <c r="A937" s="63"/>
      <c r="B937" s="63"/>
      <c r="C937" s="84"/>
      <c r="D937" s="85"/>
      <c r="E937" s="62"/>
      <c r="F937" s="62"/>
      <c r="G937" s="62"/>
      <c r="H937" s="62"/>
      <c r="I937" s="62"/>
      <c r="J937" s="62"/>
      <c r="K937" s="62"/>
      <c r="L937" s="62"/>
      <c r="M937" s="62"/>
      <c r="N937" s="62"/>
      <c r="O937" s="62"/>
      <c r="P937" s="62"/>
      <c r="Q937" s="62"/>
      <c r="R937" s="62"/>
      <c r="S937" s="258"/>
      <c r="T937" s="248" t="str">
        <f t="shared" si="130"/>
        <v/>
      </c>
      <c r="U937" s="249" t="str">
        <f t="shared" si="131"/>
        <v/>
      </c>
      <c r="V937" s="294" t="str">
        <f t="shared" si="127"/>
        <v/>
      </c>
      <c r="W937" s="294" t="str">
        <f>IF(((E937="")+(F937="")),"",IF(VLOOKUP(F937,Mannschaften!$A$1:$B$54,2,FALSE)&lt;&gt;E937,"Reiter Mannschaften füllen",""))</f>
        <v/>
      </c>
      <c r="X937" s="248" t="str">
        <f>IF(ISBLANK(C937),"",IF((U937&gt;(LOOKUP(E937,WKNrListe,Übersicht!$O$7:$O$46)))+(U937&lt;(LOOKUP(E937,WKNrListe,Übersicht!$P$7:$P$46))),"JG falsch",""))</f>
        <v/>
      </c>
      <c r="Y937" s="255" t="str">
        <f>IF((A937="")*(B937=""),"",IF(ISERROR(MATCH(E937,WKNrListe,0)),"WK falsch",LOOKUP(E937,WKNrListe,Übersicht!$B$7:$B$46)))</f>
        <v/>
      </c>
      <c r="Z937" s="269" t="str">
        <f>IF(((AJ937=0)*(AH937&lt;&gt;"")*(AK937="-"))+((AJ937&lt;&gt;0)*(AH937&lt;&gt;"")*(AK937="-")),IF(AG937="X",Übersicht!$C$70,Übersicht!$C$69),"-")</f>
        <v>-</v>
      </c>
      <c r="AA937" s="252" t="str">
        <f>IF((($A937="")*($B937=""))+((MID($Y937,1,4)&lt;&gt;"Wahl")*(Deckblatt!$C$14='WK-Vorlagen'!$C$82))+(Deckblatt!$C$14&lt;&gt;'WK-Vorlagen'!$C$82),"",IF(ISERROR(MATCH(VALUE(MID(G937,1,2)),Schwierigkeitsstufen!$G$7:$G$19,0)),"Gerät falsch",LOOKUP(VALUE(MID(G937,1,2)),Schwierigkeitsstufen!$G$7:$G$19,Schwierigkeitsstufen!$H$7:$H$19)))</f>
        <v/>
      </c>
      <c r="AB937" s="250" t="str">
        <f>IF((($A937="")*($B937=""))+((MID($Y937,1,4)&lt;&gt;"Wahl")*(Deckblatt!$C$14='WK-Vorlagen'!$C$82))+(Deckblatt!$C$14&lt;&gt;'WK-Vorlagen'!$C$82),"",IF(ISERROR(MATCH(VALUE(MID(H937,1,2)),Schwierigkeitsstufen!$G$7:$G$19,0)),"Gerät falsch",LOOKUP(VALUE(MID(H937,1,2)),Schwierigkeitsstufen!$G$7:$G$19,Schwierigkeitsstufen!$H$7:$H$19)))</f>
        <v/>
      </c>
      <c r="AC937" s="250" t="str">
        <f>IF((($A937="")*($B937=""))+((MID($Y937,1,4)&lt;&gt;"Wahl")*(Deckblatt!$C$14='WK-Vorlagen'!$C$82))+(Deckblatt!$C$14&lt;&gt;'WK-Vorlagen'!$C$82),"",IF(ISERROR(MATCH(VALUE(MID(I937,1,2)),Schwierigkeitsstufen!$G$7:$G$19,0)),"Gerät falsch",LOOKUP(VALUE(MID(I937,1,2)),Schwierigkeitsstufen!$G$7:$G$19,Schwierigkeitsstufen!$H$7:$H$19)))</f>
        <v/>
      </c>
      <c r="AD937" s="251" t="str">
        <f>IF((($A937="")*($B937=""))+((MID($Y937,1,4)&lt;&gt;"Wahl")*(Deckblatt!$C$14='WK-Vorlagen'!$C$82))+(Deckblatt!$C$14&lt;&gt;'WK-Vorlagen'!$C$82),"",IF(ISERROR(MATCH(VALUE(MID(J937,1,2)),Schwierigkeitsstufen!$G$7:$G$19,0)),"Gerät falsch",LOOKUP(VALUE(MID(J937,1,2)),Schwierigkeitsstufen!$G$7:$G$19,Schwierigkeitsstufen!$H$7:$H$19)))</f>
        <v/>
      </c>
      <c r="AE937" s="211"/>
      <c r="AG937" s="221" t="str">
        <f t="shared" si="126"/>
        <v/>
      </c>
      <c r="AH937" s="222" t="str">
        <f t="shared" si="128"/>
        <v/>
      </c>
      <c r="AI937" s="220">
        <f t="shared" si="133"/>
        <v>4</v>
      </c>
      <c r="AJ937" s="222">
        <f t="shared" si="129"/>
        <v>0</v>
      </c>
      <c r="AK937" s="299" t="str">
        <f>IF(ISERROR(LOOKUP(E937,WKNrListe,Übersicht!$R$7:$R$46)),"-",LOOKUP(E937,WKNrListe,Übersicht!$R$7:$R$46))</f>
        <v>-</v>
      </c>
      <c r="AL937" s="299" t="str">
        <f t="shared" si="132"/>
        <v>-</v>
      </c>
      <c r="AM937" s="303"/>
      <c r="AN937" s="174" t="str">
        <f t="shared" si="125"/>
        <v>Leer</v>
      </c>
    </row>
    <row r="938" spans="1:40" s="174" customFormat="1" ht="15" customHeight="1">
      <c r="A938" s="63"/>
      <c r="B938" s="63"/>
      <c r="C938" s="84"/>
      <c r="D938" s="85"/>
      <c r="E938" s="62"/>
      <c r="F938" s="62"/>
      <c r="G938" s="62"/>
      <c r="H938" s="62"/>
      <c r="I938" s="62"/>
      <c r="J938" s="62"/>
      <c r="K938" s="62"/>
      <c r="L938" s="62"/>
      <c r="M938" s="62"/>
      <c r="N938" s="62"/>
      <c r="O938" s="62"/>
      <c r="P938" s="62"/>
      <c r="Q938" s="62"/>
      <c r="R938" s="62"/>
      <c r="S938" s="258"/>
      <c r="T938" s="248" t="str">
        <f t="shared" si="130"/>
        <v/>
      </c>
      <c r="U938" s="249" t="str">
        <f t="shared" si="131"/>
        <v/>
      </c>
      <c r="V938" s="294" t="str">
        <f t="shared" si="127"/>
        <v/>
      </c>
      <c r="W938" s="294" t="str">
        <f>IF(((E938="")+(F938="")),"",IF(VLOOKUP(F938,Mannschaften!$A$1:$B$54,2,FALSE)&lt;&gt;E938,"Reiter Mannschaften füllen",""))</f>
        <v/>
      </c>
      <c r="X938" s="248" t="str">
        <f>IF(ISBLANK(C938),"",IF((U938&gt;(LOOKUP(E938,WKNrListe,Übersicht!$O$7:$O$46)))+(U938&lt;(LOOKUP(E938,WKNrListe,Übersicht!$P$7:$P$46))),"JG falsch",""))</f>
        <v/>
      </c>
      <c r="Y938" s="255" t="str">
        <f>IF((A938="")*(B938=""),"",IF(ISERROR(MATCH(E938,WKNrListe,0)),"WK falsch",LOOKUP(E938,WKNrListe,Übersicht!$B$7:$B$46)))</f>
        <v/>
      </c>
      <c r="Z938" s="269" t="str">
        <f>IF(((AJ938=0)*(AH938&lt;&gt;"")*(AK938="-"))+((AJ938&lt;&gt;0)*(AH938&lt;&gt;"")*(AK938="-")),IF(AG938="X",Übersicht!$C$70,Übersicht!$C$69),"-")</f>
        <v>-</v>
      </c>
      <c r="AA938" s="252" t="str">
        <f>IF((($A938="")*($B938=""))+((MID($Y938,1,4)&lt;&gt;"Wahl")*(Deckblatt!$C$14='WK-Vorlagen'!$C$82))+(Deckblatt!$C$14&lt;&gt;'WK-Vorlagen'!$C$82),"",IF(ISERROR(MATCH(VALUE(MID(G938,1,2)),Schwierigkeitsstufen!$G$7:$G$19,0)),"Gerät falsch",LOOKUP(VALUE(MID(G938,1,2)),Schwierigkeitsstufen!$G$7:$G$19,Schwierigkeitsstufen!$H$7:$H$19)))</f>
        <v/>
      </c>
      <c r="AB938" s="250" t="str">
        <f>IF((($A938="")*($B938=""))+((MID($Y938,1,4)&lt;&gt;"Wahl")*(Deckblatt!$C$14='WK-Vorlagen'!$C$82))+(Deckblatt!$C$14&lt;&gt;'WK-Vorlagen'!$C$82),"",IF(ISERROR(MATCH(VALUE(MID(H938,1,2)),Schwierigkeitsstufen!$G$7:$G$19,0)),"Gerät falsch",LOOKUP(VALUE(MID(H938,1,2)),Schwierigkeitsstufen!$G$7:$G$19,Schwierigkeitsstufen!$H$7:$H$19)))</f>
        <v/>
      </c>
      <c r="AC938" s="250" t="str">
        <f>IF((($A938="")*($B938=""))+((MID($Y938,1,4)&lt;&gt;"Wahl")*(Deckblatt!$C$14='WK-Vorlagen'!$C$82))+(Deckblatt!$C$14&lt;&gt;'WK-Vorlagen'!$C$82),"",IF(ISERROR(MATCH(VALUE(MID(I938,1,2)),Schwierigkeitsstufen!$G$7:$G$19,0)),"Gerät falsch",LOOKUP(VALUE(MID(I938,1,2)),Schwierigkeitsstufen!$G$7:$G$19,Schwierigkeitsstufen!$H$7:$H$19)))</f>
        <v/>
      </c>
      <c r="AD938" s="251" t="str">
        <f>IF((($A938="")*($B938=""))+((MID($Y938,1,4)&lt;&gt;"Wahl")*(Deckblatt!$C$14='WK-Vorlagen'!$C$82))+(Deckblatt!$C$14&lt;&gt;'WK-Vorlagen'!$C$82),"",IF(ISERROR(MATCH(VALUE(MID(J938,1,2)),Schwierigkeitsstufen!$G$7:$G$19,0)),"Gerät falsch",LOOKUP(VALUE(MID(J938,1,2)),Schwierigkeitsstufen!$G$7:$G$19,Schwierigkeitsstufen!$H$7:$H$19)))</f>
        <v/>
      </c>
      <c r="AE938" s="211"/>
      <c r="AG938" s="221" t="str">
        <f t="shared" si="126"/>
        <v/>
      </c>
      <c r="AH938" s="222" t="str">
        <f t="shared" si="128"/>
        <v/>
      </c>
      <c r="AI938" s="220">
        <f t="shared" si="133"/>
        <v>4</v>
      </c>
      <c r="AJ938" s="222">
        <f t="shared" si="129"/>
        <v>0</v>
      </c>
      <c r="AK938" s="299" t="str">
        <f>IF(ISERROR(LOOKUP(E938,WKNrListe,Übersicht!$R$7:$R$46)),"-",LOOKUP(E938,WKNrListe,Übersicht!$R$7:$R$46))</f>
        <v>-</v>
      </c>
      <c r="AL938" s="299" t="str">
        <f t="shared" si="132"/>
        <v>-</v>
      </c>
      <c r="AM938" s="303"/>
      <c r="AN938" s="174" t="str">
        <f t="shared" si="125"/>
        <v>Leer</v>
      </c>
    </row>
    <row r="939" spans="1:40" s="174" customFormat="1" ht="15" customHeight="1">
      <c r="A939" s="63"/>
      <c r="B939" s="63"/>
      <c r="C939" s="84"/>
      <c r="D939" s="85"/>
      <c r="E939" s="62"/>
      <c r="F939" s="62"/>
      <c r="G939" s="62"/>
      <c r="H939" s="62"/>
      <c r="I939" s="62"/>
      <c r="J939" s="62"/>
      <c r="K939" s="62"/>
      <c r="L939" s="62"/>
      <c r="M939" s="62"/>
      <c r="N939" s="62"/>
      <c r="O939" s="62"/>
      <c r="P939" s="62"/>
      <c r="Q939" s="62"/>
      <c r="R939" s="62"/>
      <c r="S939" s="258"/>
      <c r="T939" s="248" t="str">
        <f t="shared" si="130"/>
        <v/>
      </c>
      <c r="U939" s="249" t="str">
        <f t="shared" si="131"/>
        <v/>
      </c>
      <c r="V939" s="294" t="str">
        <f t="shared" si="127"/>
        <v/>
      </c>
      <c r="W939" s="294" t="str">
        <f>IF(((E939="")+(F939="")),"",IF(VLOOKUP(F939,Mannschaften!$A$1:$B$54,2,FALSE)&lt;&gt;E939,"Reiter Mannschaften füllen",""))</f>
        <v/>
      </c>
      <c r="X939" s="248" t="str">
        <f>IF(ISBLANK(C939),"",IF((U939&gt;(LOOKUP(E939,WKNrListe,Übersicht!$O$7:$O$46)))+(U939&lt;(LOOKUP(E939,WKNrListe,Übersicht!$P$7:$P$46))),"JG falsch",""))</f>
        <v/>
      </c>
      <c r="Y939" s="255" t="str">
        <f>IF((A939="")*(B939=""),"",IF(ISERROR(MATCH(E939,WKNrListe,0)),"WK falsch",LOOKUP(E939,WKNrListe,Übersicht!$B$7:$B$46)))</f>
        <v/>
      </c>
      <c r="Z939" s="269" t="str">
        <f>IF(((AJ939=0)*(AH939&lt;&gt;"")*(AK939="-"))+((AJ939&lt;&gt;0)*(AH939&lt;&gt;"")*(AK939="-")),IF(AG939="X",Übersicht!$C$70,Übersicht!$C$69),"-")</f>
        <v>-</v>
      </c>
      <c r="AA939" s="252" t="str">
        <f>IF((($A939="")*($B939=""))+((MID($Y939,1,4)&lt;&gt;"Wahl")*(Deckblatt!$C$14='WK-Vorlagen'!$C$82))+(Deckblatt!$C$14&lt;&gt;'WK-Vorlagen'!$C$82),"",IF(ISERROR(MATCH(VALUE(MID(G939,1,2)),Schwierigkeitsstufen!$G$7:$G$19,0)),"Gerät falsch",LOOKUP(VALUE(MID(G939,1,2)),Schwierigkeitsstufen!$G$7:$G$19,Schwierigkeitsstufen!$H$7:$H$19)))</f>
        <v/>
      </c>
      <c r="AB939" s="250" t="str">
        <f>IF((($A939="")*($B939=""))+((MID($Y939,1,4)&lt;&gt;"Wahl")*(Deckblatt!$C$14='WK-Vorlagen'!$C$82))+(Deckblatt!$C$14&lt;&gt;'WK-Vorlagen'!$C$82),"",IF(ISERROR(MATCH(VALUE(MID(H939,1,2)),Schwierigkeitsstufen!$G$7:$G$19,0)),"Gerät falsch",LOOKUP(VALUE(MID(H939,1,2)),Schwierigkeitsstufen!$G$7:$G$19,Schwierigkeitsstufen!$H$7:$H$19)))</f>
        <v/>
      </c>
      <c r="AC939" s="250" t="str">
        <f>IF((($A939="")*($B939=""))+((MID($Y939,1,4)&lt;&gt;"Wahl")*(Deckblatt!$C$14='WK-Vorlagen'!$C$82))+(Deckblatt!$C$14&lt;&gt;'WK-Vorlagen'!$C$82),"",IF(ISERROR(MATCH(VALUE(MID(I939,1,2)),Schwierigkeitsstufen!$G$7:$G$19,0)),"Gerät falsch",LOOKUP(VALUE(MID(I939,1,2)),Schwierigkeitsstufen!$G$7:$G$19,Schwierigkeitsstufen!$H$7:$H$19)))</f>
        <v/>
      </c>
      <c r="AD939" s="251" t="str">
        <f>IF((($A939="")*($B939=""))+((MID($Y939,1,4)&lt;&gt;"Wahl")*(Deckblatt!$C$14='WK-Vorlagen'!$C$82))+(Deckblatt!$C$14&lt;&gt;'WK-Vorlagen'!$C$82),"",IF(ISERROR(MATCH(VALUE(MID(J939,1,2)),Schwierigkeitsstufen!$G$7:$G$19,0)),"Gerät falsch",LOOKUP(VALUE(MID(J939,1,2)),Schwierigkeitsstufen!$G$7:$G$19,Schwierigkeitsstufen!$H$7:$H$19)))</f>
        <v/>
      </c>
      <c r="AE939" s="211"/>
      <c r="AG939" s="221" t="str">
        <f t="shared" si="126"/>
        <v/>
      </c>
      <c r="AH939" s="222" t="str">
        <f t="shared" si="128"/>
        <v/>
      </c>
      <c r="AI939" s="220">
        <f t="shared" si="133"/>
        <v>4</v>
      </c>
      <c r="AJ939" s="222">
        <f t="shared" si="129"/>
        <v>0</v>
      </c>
      <c r="AK939" s="299" t="str">
        <f>IF(ISERROR(LOOKUP(E939,WKNrListe,Übersicht!$R$7:$R$46)),"-",LOOKUP(E939,WKNrListe,Übersicht!$R$7:$R$46))</f>
        <v>-</v>
      </c>
      <c r="AL939" s="299" t="str">
        <f t="shared" si="132"/>
        <v>-</v>
      </c>
      <c r="AM939" s="303"/>
      <c r="AN939" s="174" t="str">
        <f t="shared" si="125"/>
        <v>Leer</v>
      </c>
    </row>
    <row r="940" spans="1:40" s="174" customFormat="1" ht="15" customHeight="1">
      <c r="A940" s="63"/>
      <c r="B940" s="63"/>
      <c r="C940" s="84"/>
      <c r="D940" s="85"/>
      <c r="E940" s="62"/>
      <c r="F940" s="62"/>
      <c r="G940" s="62"/>
      <c r="H940" s="62"/>
      <c r="I940" s="62"/>
      <c r="J940" s="62"/>
      <c r="K940" s="62"/>
      <c r="L940" s="62"/>
      <c r="M940" s="62"/>
      <c r="N940" s="62"/>
      <c r="O940" s="62"/>
      <c r="P940" s="62"/>
      <c r="Q940" s="62"/>
      <c r="R940" s="62"/>
      <c r="S940" s="258"/>
      <c r="T940" s="248" t="str">
        <f t="shared" si="130"/>
        <v/>
      </c>
      <c r="U940" s="249" t="str">
        <f t="shared" si="131"/>
        <v/>
      </c>
      <c r="V940" s="294" t="str">
        <f t="shared" si="127"/>
        <v/>
      </c>
      <c r="W940" s="294" t="str">
        <f>IF(((E940="")+(F940="")),"",IF(VLOOKUP(F940,Mannschaften!$A$1:$B$54,2,FALSE)&lt;&gt;E940,"Reiter Mannschaften füllen",""))</f>
        <v/>
      </c>
      <c r="X940" s="248" t="str">
        <f>IF(ISBLANK(C940),"",IF((U940&gt;(LOOKUP(E940,WKNrListe,Übersicht!$O$7:$O$46)))+(U940&lt;(LOOKUP(E940,WKNrListe,Übersicht!$P$7:$P$46))),"JG falsch",""))</f>
        <v/>
      </c>
      <c r="Y940" s="255" t="str">
        <f>IF((A940="")*(B940=""),"",IF(ISERROR(MATCH(E940,WKNrListe,0)),"WK falsch",LOOKUP(E940,WKNrListe,Übersicht!$B$7:$B$46)))</f>
        <v/>
      </c>
      <c r="Z940" s="269" t="str">
        <f>IF(((AJ940=0)*(AH940&lt;&gt;"")*(AK940="-"))+((AJ940&lt;&gt;0)*(AH940&lt;&gt;"")*(AK940="-")),IF(AG940="X",Übersicht!$C$70,Übersicht!$C$69),"-")</f>
        <v>-</v>
      </c>
      <c r="AA940" s="252" t="str">
        <f>IF((($A940="")*($B940=""))+((MID($Y940,1,4)&lt;&gt;"Wahl")*(Deckblatt!$C$14='WK-Vorlagen'!$C$82))+(Deckblatt!$C$14&lt;&gt;'WK-Vorlagen'!$C$82),"",IF(ISERROR(MATCH(VALUE(MID(G940,1,2)),Schwierigkeitsstufen!$G$7:$G$19,0)),"Gerät falsch",LOOKUP(VALUE(MID(G940,1,2)),Schwierigkeitsstufen!$G$7:$G$19,Schwierigkeitsstufen!$H$7:$H$19)))</f>
        <v/>
      </c>
      <c r="AB940" s="250" t="str">
        <f>IF((($A940="")*($B940=""))+((MID($Y940,1,4)&lt;&gt;"Wahl")*(Deckblatt!$C$14='WK-Vorlagen'!$C$82))+(Deckblatt!$C$14&lt;&gt;'WK-Vorlagen'!$C$82),"",IF(ISERROR(MATCH(VALUE(MID(H940,1,2)),Schwierigkeitsstufen!$G$7:$G$19,0)),"Gerät falsch",LOOKUP(VALUE(MID(H940,1,2)),Schwierigkeitsstufen!$G$7:$G$19,Schwierigkeitsstufen!$H$7:$H$19)))</f>
        <v/>
      </c>
      <c r="AC940" s="250" t="str">
        <f>IF((($A940="")*($B940=""))+((MID($Y940,1,4)&lt;&gt;"Wahl")*(Deckblatt!$C$14='WK-Vorlagen'!$C$82))+(Deckblatt!$C$14&lt;&gt;'WK-Vorlagen'!$C$82),"",IF(ISERROR(MATCH(VALUE(MID(I940,1,2)),Schwierigkeitsstufen!$G$7:$G$19,0)),"Gerät falsch",LOOKUP(VALUE(MID(I940,1,2)),Schwierigkeitsstufen!$G$7:$G$19,Schwierigkeitsstufen!$H$7:$H$19)))</f>
        <v/>
      </c>
      <c r="AD940" s="251" t="str">
        <f>IF((($A940="")*($B940=""))+((MID($Y940,1,4)&lt;&gt;"Wahl")*(Deckblatt!$C$14='WK-Vorlagen'!$C$82))+(Deckblatt!$C$14&lt;&gt;'WK-Vorlagen'!$C$82),"",IF(ISERROR(MATCH(VALUE(MID(J940,1,2)),Schwierigkeitsstufen!$G$7:$G$19,0)),"Gerät falsch",LOOKUP(VALUE(MID(J940,1,2)),Schwierigkeitsstufen!$G$7:$G$19,Schwierigkeitsstufen!$H$7:$H$19)))</f>
        <v/>
      </c>
      <c r="AE940" s="211"/>
      <c r="AG940" s="221" t="str">
        <f t="shared" si="126"/>
        <v/>
      </c>
      <c r="AH940" s="222" t="str">
        <f t="shared" si="128"/>
        <v/>
      </c>
      <c r="AI940" s="220">
        <f t="shared" si="133"/>
        <v>4</v>
      </c>
      <c r="AJ940" s="222">
        <f t="shared" si="129"/>
        <v>0</v>
      </c>
      <c r="AK940" s="299" t="str">
        <f>IF(ISERROR(LOOKUP(E940,WKNrListe,Übersicht!$R$7:$R$46)),"-",LOOKUP(E940,WKNrListe,Übersicht!$R$7:$R$46))</f>
        <v>-</v>
      </c>
      <c r="AL940" s="299" t="str">
        <f t="shared" si="132"/>
        <v>-</v>
      </c>
      <c r="AM940" s="303"/>
      <c r="AN940" s="174" t="str">
        <f t="shared" si="125"/>
        <v>Leer</v>
      </c>
    </row>
    <row r="941" spans="1:40" s="174" customFormat="1" ht="15" customHeight="1">
      <c r="A941" s="63"/>
      <c r="B941" s="63"/>
      <c r="C941" s="84"/>
      <c r="D941" s="85"/>
      <c r="E941" s="62"/>
      <c r="F941" s="62"/>
      <c r="G941" s="62"/>
      <c r="H941" s="62"/>
      <c r="I941" s="62"/>
      <c r="J941" s="62"/>
      <c r="K941" s="62"/>
      <c r="L941" s="62"/>
      <c r="M941" s="62"/>
      <c r="N941" s="62"/>
      <c r="O941" s="62"/>
      <c r="P941" s="62"/>
      <c r="Q941" s="62"/>
      <c r="R941" s="62"/>
      <c r="S941" s="258"/>
      <c r="T941" s="248" t="str">
        <f t="shared" si="130"/>
        <v/>
      </c>
      <c r="U941" s="249" t="str">
        <f t="shared" si="131"/>
        <v/>
      </c>
      <c r="V941" s="294" t="str">
        <f t="shared" si="127"/>
        <v/>
      </c>
      <c r="W941" s="294" t="str">
        <f>IF(((E941="")+(F941="")),"",IF(VLOOKUP(F941,Mannschaften!$A$1:$B$54,2,FALSE)&lt;&gt;E941,"Reiter Mannschaften füllen",""))</f>
        <v/>
      </c>
      <c r="X941" s="248" t="str">
        <f>IF(ISBLANK(C941),"",IF((U941&gt;(LOOKUP(E941,WKNrListe,Übersicht!$O$7:$O$46)))+(U941&lt;(LOOKUP(E941,WKNrListe,Übersicht!$P$7:$P$46))),"JG falsch",""))</f>
        <v/>
      </c>
      <c r="Y941" s="255" t="str">
        <f>IF((A941="")*(B941=""),"",IF(ISERROR(MATCH(E941,WKNrListe,0)),"WK falsch",LOOKUP(E941,WKNrListe,Übersicht!$B$7:$B$46)))</f>
        <v/>
      </c>
      <c r="Z941" s="269" t="str">
        <f>IF(((AJ941=0)*(AH941&lt;&gt;"")*(AK941="-"))+((AJ941&lt;&gt;0)*(AH941&lt;&gt;"")*(AK941="-")),IF(AG941="X",Übersicht!$C$70,Übersicht!$C$69),"-")</f>
        <v>-</v>
      </c>
      <c r="AA941" s="252" t="str">
        <f>IF((($A941="")*($B941=""))+((MID($Y941,1,4)&lt;&gt;"Wahl")*(Deckblatt!$C$14='WK-Vorlagen'!$C$82))+(Deckblatt!$C$14&lt;&gt;'WK-Vorlagen'!$C$82),"",IF(ISERROR(MATCH(VALUE(MID(G941,1,2)),Schwierigkeitsstufen!$G$7:$G$19,0)),"Gerät falsch",LOOKUP(VALUE(MID(G941,1,2)),Schwierigkeitsstufen!$G$7:$G$19,Schwierigkeitsstufen!$H$7:$H$19)))</f>
        <v/>
      </c>
      <c r="AB941" s="250" t="str">
        <f>IF((($A941="")*($B941=""))+((MID($Y941,1,4)&lt;&gt;"Wahl")*(Deckblatt!$C$14='WK-Vorlagen'!$C$82))+(Deckblatt!$C$14&lt;&gt;'WK-Vorlagen'!$C$82),"",IF(ISERROR(MATCH(VALUE(MID(H941,1,2)),Schwierigkeitsstufen!$G$7:$G$19,0)),"Gerät falsch",LOOKUP(VALUE(MID(H941,1,2)),Schwierigkeitsstufen!$G$7:$G$19,Schwierigkeitsstufen!$H$7:$H$19)))</f>
        <v/>
      </c>
      <c r="AC941" s="250" t="str">
        <f>IF((($A941="")*($B941=""))+((MID($Y941,1,4)&lt;&gt;"Wahl")*(Deckblatt!$C$14='WK-Vorlagen'!$C$82))+(Deckblatt!$C$14&lt;&gt;'WK-Vorlagen'!$C$82),"",IF(ISERROR(MATCH(VALUE(MID(I941,1,2)),Schwierigkeitsstufen!$G$7:$G$19,0)),"Gerät falsch",LOOKUP(VALUE(MID(I941,1,2)),Schwierigkeitsstufen!$G$7:$G$19,Schwierigkeitsstufen!$H$7:$H$19)))</f>
        <v/>
      </c>
      <c r="AD941" s="251" t="str">
        <f>IF((($A941="")*($B941=""))+((MID($Y941,1,4)&lt;&gt;"Wahl")*(Deckblatt!$C$14='WK-Vorlagen'!$C$82))+(Deckblatt!$C$14&lt;&gt;'WK-Vorlagen'!$C$82),"",IF(ISERROR(MATCH(VALUE(MID(J941,1,2)),Schwierigkeitsstufen!$G$7:$G$19,0)),"Gerät falsch",LOOKUP(VALUE(MID(J941,1,2)),Schwierigkeitsstufen!$G$7:$G$19,Schwierigkeitsstufen!$H$7:$H$19)))</f>
        <v/>
      </c>
      <c r="AE941" s="211"/>
      <c r="AG941" s="221" t="str">
        <f t="shared" si="126"/>
        <v/>
      </c>
      <c r="AH941" s="222" t="str">
        <f t="shared" si="128"/>
        <v/>
      </c>
      <c r="AI941" s="220">
        <f t="shared" si="133"/>
        <v>4</v>
      </c>
      <c r="AJ941" s="222">
        <f t="shared" si="129"/>
        <v>0</v>
      </c>
      <c r="AK941" s="299" t="str">
        <f>IF(ISERROR(LOOKUP(E941,WKNrListe,Übersicht!$R$7:$R$46)),"-",LOOKUP(E941,WKNrListe,Übersicht!$R$7:$R$46))</f>
        <v>-</v>
      </c>
      <c r="AL941" s="299" t="str">
        <f t="shared" si="132"/>
        <v>-</v>
      </c>
      <c r="AM941" s="303"/>
      <c r="AN941" s="174" t="str">
        <f t="shared" si="125"/>
        <v>Leer</v>
      </c>
    </row>
    <row r="942" spans="1:40" s="174" customFormat="1" ht="15" customHeight="1">
      <c r="A942" s="63"/>
      <c r="B942" s="63"/>
      <c r="C942" s="84"/>
      <c r="D942" s="85"/>
      <c r="E942" s="62"/>
      <c r="F942" s="62"/>
      <c r="G942" s="62"/>
      <c r="H942" s="62"/>
      <c r="I942" s="62"/>
      <c r="J942" s="62"/>
      <c r="K942" s="62"/>
      <c r="L942" s="62"/>
      <c r="M942" s="62"/>
      <c r="N942" s="62"/>
      <c r="O942" s="62"/>
      <c r="P942" s="62"/>
      <c r="Q942" s="62"/>
      <c r="R942" s="62"/>
      <c r="S942" s="258"/>
      <c r="T942" s="248" t="str">
        <f t="shared" si="130"/>
        <v/>
      </c>
      <c r="U942" s="249" t="str">
        <f t="shared" si="131"/>
        <v/>
      </c>
      <c r="V942" s="294" t="str">
        <f t="shared" si="127"/>
        <v/>
      </c>
      <c r="W942" s="294" t="str">
        <f>IF(((E942="")+(F942="")),"",IF(VLOOKUP(F942,Mannschaften!$A$1:$B$54,2,FALSE)&lt;&gt;E942,"Reiter Mannschaften füllen",""))</f>
        <v/>
      </c>
      <c r="X942" s="248" t="str">
        <f>IF(ISBLANK(C942),"",IF((U942&gt;(LOOKUP(E942,WKNrListe,Übersicht!$O$7:$O$46)))+(U942&lt;(LOOKUP(E942,WKNrListe,Übersicht!$P$7:$P$46))),"JG falsch",""))</f>
        <v/>
      </c>
      <c r="Y942" s="255" t="str">
        <f>IF((A942="")*(B942=""),"",IF(ISERROR(MATCH(E942,WKNrListe,0)),"WK falsch",LOOKUP(E942,WKNrListe,Übersicht!$B$7:$B$46)))</f>
        <v/>
      </c>
      <c r="Z942" s="269" t="str">
        <f>IF(((AJ942=0)*(AH942&lt;&gt;"")*(AK942="-"))+((AJ942&lt;&gt;0)*(AH942&lt;&gt;"")*(AK942="-")),IF(AG942="X",Übersicht!$C$70,Übersicht!$C$69),"-")</f>
        <v>-</v>
      </c>
      <c r="AA942" s="252" t="str">
        <f>IF((($A942="")*($B942=""))+((MID($Y942,1,4)&lt;&gt;"Wahl")*(Deckblatt!$C$14='WK-Vorlagen'!$C$82))+(Deckblatt!$C$14&lt;&gt;'WK-Vorlagen'!$C$82),"",IF(ISERROR(MATCH(VALUE(MID(G942,1,2)),Schwierigkeitsstufen!$G$7:$G$19,0)),"Gerät falsch",LOOKUP(VALUE(MID(G942,1,2)),Schwierigkeitsstufen!$G$7:$G$19,Schwierigkeitsstufen!$H$7:$H$19)))</f>
        <v/>
      </c>
      <c r="AB942" s="250" t="str">
        <f>IF((($A942="")*($B942=""))+((MID($Y942,1,4)&lt;&gt;"Wahl")*(Deckblatt!$C$14='WK-Vorlagen'!$C$82))+(Deckblatt!$C$14&lt;&gt;'WK-Vorlagen'!$C$82),"",IF(ISERROR(MATCH(VALUE(MID(H942,1,2)),Schwierigkeitsstufen!$G$7:$G$19,0)),"Gerät falsch",LOOKUP(VALUE(MID(H942,1,2)),Schwierigkeitsstufen!$G$7:$G$19,Schwierigkeitsstufen!$H$7:$H$19)))</f>
        <v/>
      </c>
      <c r="AC942" s="250" t="str">
        <f>IF((($A942="")*($B942=""))+((MID($Y942,1,4)&lt;&gt;"Wahl")*(Deckblatt!$C$14='WK-Vorlagen'!$C$82))+(Deckblatt!$C$14&lt;&gt;'WK-Vorlagen'!$C$82),"",IF(ISERROR(MATCH(VALUE(MID(I942,1,2)),Schwierigkeitsstufen!$G$7:$G$19,0)),"Gerät falsch",LOOKUP(VALUE(MID(I942,1,2)),Schwierigkeitsstufen!$G$7:$G$19,Schwierigkeitsstufen!$H$7:$H$19)))</f>
        <v/>
      </c>
      <c r="AD942" s="251" t="str">
        <f>IF((($A942="")*($B942=""))+((MID($Y942,1,4)&lt;&gt;"Wahl")*(Deckblatt!$C$14='WK-Vorlagen'!$C$82))+(Deckblatt!$C$14&lt;&gt;'WK-Vorlagen'!$C$82),"",IF(ISERROR(MATCH(VALUE(MID(J942,1,2)),Schwierigkeitsstufen!$G$7:$G$19,0)),"Gerät falsch",LOOKUP(VALUE(MID(J942,1,2)),Schwierigkeitsstufen!$G$7:$G$19,Schwierigkeitsstufen!$H$7:$H$19)))</f>
        <v/>
      </c>
      <c r="AE942" s="211"/>
      <c r="AG942" s="221" t="str">
        <f t="shared" si="126"/>
        <v/>
      </c>
      <c r="AH942" s="222" t="str">
        <f t="shared" si="128"/>
        <v/>
      </c>
      <c r="AI942" s="220">
        <f t="shared" si="133"/>
        <v>4</v>
      </c>
      <c r="AJ942" s="222">
        <f t="shared" si="129"/>
        <v>0</v>
      </c>
      <c r="AK942" s="299" t="str">
        <f>IF(ISERROR(LOOKUP(E942,WKNrListe,Übersicht!$R$7:$R$46)),"-",LOOKUP(E942,WKNrListe,Übersicht!$R$7:$R$46))</f>
        <v>-</v>
      </c>
      <c r="AL942" s="299" t="str">
        <f t="shared" si="132"/>
        <v>-</v>
      </c>
      <c r="AM942" s="303"/>
      <c r="AN942" s="174" t="str">
        <f t="shared" si="125"/>
        <v>Leer</v>
      </c>
    </row>
    <row r="943" spans="1:40" s="174" customFormat="1" ht="15" customHeight="1">
      <c r="A943" s="63"/>
      <c r="B943" s="63"/>
      <c r="C943" s="84"/>
      <c r="D943" s="85"/>
      <c r="E943" s="62"/>
      <c r="F943" s="62"/>
      <c r="G943" s="62"/>
      <c r="H943" s="62"/>
      <c r="I943" s="62"/>
      <c r="J943" s="62"/>
      <c r="K943" s="62"/>
      <c r="L943" s="62"/>
      <c r="M943" s="62"/>
      <c r="N943" s="62"/>
      <c r="O943" s="62"/>
      <c r="P943" s="62"/>
      <c r="Q943" s="62"/>
      <c r="R943" s="62"/>
      <c r="S943" s="258"/>
      <c r="T943" s="248" t="str">
        <f t="shared" si="130"/>
        <v/>
      </c>
      <c r="U943" s="249" t="str">
        <f t="shared" si="131"/>
        <v/>
      </c>
      <c r="V943" s="294" t="str">
        <f t="shared" si="127"/>
        <v/>
      </c>
      <c r="W943" s="294" t="str">
        <f>IF(((E943="")+(F943="")),"",IF(VLOOKUP(F943,Mannschaften!$A$1:$B$54,2,FALSE)&lt;&gt;E943,"Reiter Mannschaften füllen",""))</f>
        <v/>
      </c>
      <c r="X943" s="248" t="str">
        <f>IF(ISBLANK(C943),"",IF((U943&gt;(LOOKUP(E943,WKNrListe,Übersicht!$O$7:$O$46)))+(U943&lt;(LOOKUP(E943,WKNrListe,Übersicht!$P$7:$P$46))),"JG falsch",""))</f>
        <v/>
      </c>
      <c r="Y943" s="255" t="str">
        <f>IF((A943="")*(B943=""),"",IF(ISERROR(MATCH(E943,WKNrListe,0)),"WK falsch",LOOKUP(E943,WKNrListe,Übersicht!$B$7:$B$46)))</f>
        <v/>
      </c>
      <c r="Z943" s="269" t="str">
        <f>IF(((AJ943=0)*(AH943&lt;&gt;"")*(AK943="-"))+((AJ943&lt;&gt;0)*(AH943&lt;&gt;"")*(AK943="-")),IF(AG943="X",Übersicht!$C$70,Übersicht!$C$69),"-")</f>
        <v>-</v>
      </c>
      <c r="AA943" s="252" t="str">
        <f>IF((($A943="")*($B943=""))+((MID($Y943,1,4)&lt;&gt;"Wahl")*(Deckblatt!$C$14='WK-Vorlagen'!$C$82))+(Deckblatt!$C$14&lt;&gt;'WK-Vorlagen'!$C$82),"",IF(ISERROR(MATCH(VALUE(MID(G943,1,2)),Schwierigkeitsstufen!$G$7:$G$19,0)),"Gerät falsch",LOOKUP(VALUE(MID(G943,1,2)),Schwierigkeitsstufen!$G$7:$G$19,Schwierigkeitsstufen!$H$7:$H$19)))</f>
        <v/>
      </c>
      <c r="AB943" s="250" t="str">
        <f>IF((($A943="")*($B943=""))+((MID($Y943,1,4)&lt;&gt;"Wahl")*(Deckblatt!$C$14='WK-Vorlagen'!$C$82))+(Deckblatt!$C$14&lt;&gt;'WK-Vorlagen'!$C$82),"",IF(ISERROR(MATCH(VALUE(MID(H943,1,2)),Schwierigkeitsstufen!$G$7:$G$19,0)),"Gerät falsch",LOOKUP(VALUE(MID(H943,1,2)),Schwierigkeitsstufen!$G$7:$G$19,Schwierigkeitsstufen!$H$7:$H$19)))</f>
        <v/>
      </c>
      <c r="AC943" s="250" t="str">
        <f>IF((($A943="")*($B943=""))+((MID($Y943,1,4)&lt;&gt;"Wahl")*(Deckblatt!$C$14='WK-Vorlagen'!$C$82))+(Deckblatt!$C$14&lt;&gt;'WK-Vorlagen'!$C$82),"",IF(ISERROR(MATCH(VALUE(MID(I943,1,2)),Schwierigkeitsstufen!$G$7:$G$19,0)),"Gerät falsch",LOOKUP(VALUE(MID(I943,1,2)),Schwierigkeitsstufen!$G$7:$G$19,Schwierigkeitsstufen!$H$7:$H$19)))</f>
        <v/>
      </c>
      <c r="AD943" s="251" t="str">
        <f>IF((($A943="")*($B943=""))+((MID($Y943,1,4)&lt;&gt;"Wahl")*(Deckblatt!$C$14='WK-Vorlagen'!$C$82))+(Deckblatt!$C$14&lt;&gt;'WK-Vorlagen'!$C$82),"",IF(ISERROR(MATCH(VALUE(MID(J943,1,2)),Schwierigkeitsstufen!$G$7:$G$19,0)),"Gerät falsch",LOOKUP(VALUE(MID(J943,1,2)),Schwierigkeitsstufen!$G$7:$G$19,Schwierigkeitsstufen!$H$7:$H$19)))</f>
        <v/>
      </c>
      <c r="AE943" s="211"/>
      <c r="AG943" s="221" t="str">
        <f t="shared" si="126"/>
        <v/>
      </c>
      <c r="AH943" s="222" t="str">
        <f t="shared" si="128"/>
        <v/>
      </c>
      <c r="AI943" s="220">
        <f t="shared" si="133"/>
        <v>4</v>
      </c>
      <c r="AJ943" s="222">
        <f t="shared" si="129"/>
        <v>0</v>
      </c>
      <c r="AK943" s="299" t="str">
        <f>IF(ISERROR(LOOKUP(E943,WKNrListe,Übersicht!$R$7:$R$46)),"-",LOOKUP(E943,WKNrListe,Übersicht!$R$7:$R$46))</f>
        <v>-</v>
      </c>
      <c r="AL943" s="299" t="str">
        <f t="shared" si="132"/>
        <v>-</v>
      </c>
      <c r="AM943" s="303"/>
      <c r="AN943" s="174" t="str">
        <f t="shared" ref="AN943:AN999" si="134">IF(ISBLANK(A943)*ISBLANK(B943)*ISBLANK(C943)*ISBLANK(E943)*ISBLANK(F943)*ISBLANK(G943)*ISBLANK(H943)*ISBLANK(I943)*ISBLANK(J943),"Leer","Voll")</f>
        <v>Leer</v>
      </c>
    </row>
    <row r="944" spans="1:40" s="174" customFormat="1" ht="15" customHeight="1">
      <c r="A944" s="63"/>
      <c r="B944" s="63"/>
      <c r="C944" s="84"/>
      <c r="D944" s="85"/>
      <c r="E944" s="62"/>
      <c r="F944" s="62"/>
      <c r="G944" s="62"/>
      <c r="H944" s="62"/>
      <c r="I944" s="62"/>
      <c r="J944" s="62"/>
      <c r="K944" s="62"/>
      <c r="L944" s="62"/>
      <c r="M944" s="62"/>
      <c r="N944" s="62"/>
      <c r="O944" s="62"/>
      <c r="P944" s="62"/>
      <c r="Q944" s="62"/>
      <c r="R944" s="62"/>
      <c r="S944" s="258"/>
      <c r="T944" s="248" t="str">
        <f t="shared" si="130"/>
        <v/>
      </c>
      <c r="U944" s="249" t="str">
        <f t="shared" si="131"/>
        <v/>
      </c>
      <c r="V944" s="294" t="str">
        <f t="shared" si="127"/>
        <v/>
      </c>
      <c r="W944" s="294" t="str">
        <f>IF(((E944="")+(F944="")),"",IF(VLOOKUP(F944,Mannschaften!$A$1:$B$54,2,FALSE)&lt;&gt;E944,"Reiter Mannschaften füllen",""))</f>
        <v/>
      </c>
      <c r="X944" s="248" t="str">
        <f>IF(ISBLANK(C944),"",IF((U944&gt;(LOOKUP(E944,WKNrListe,Übersicht!$O$7:$O$46)))+(U944&lt;(LOOKUP(E944,WKNrListe,Übersicht!$P$7:$P$46))),"JG falsch",""))</f>
        <v/>
      </c>
      <c r="Y944" s="255" t="str">
        <f>IF((A944="")*(B944=""),"",IF(ISERROR(MATCH(E944,WKNrListe,0)),"WK falsch",LOOKUP(E944,WKNrListe,Übersicht!$B$7:$B$46)))</f>
        <v/>
      </c>
      <c r="Z944" s="269" t="str">
        <f>IF(((AJ944=0)*(AH944&lt;&gt;"")*(AK944="-"))+((AJ944&lt;&gt;0)*(AH944&lt;&gt;"")*(AK944="-")),IF(AG944="X",Übersicht!$C$70,Übersicht!$C$69),"-")</f>
        <v>-</v>
      </c>
      <c r="AA944" s="252" t="str">
        <f>IF((($A944="")*($B944=""))+((MID($Y944,1,4)&lt;&gt;"Wahl")*(Deckblatt!$C$14='WK-Vorlagen'!$C$82))+(Deckblatt!$C$14&lt;&gt;'WK-Vorlagen'!$C$82),"",IF(ISERROR(MATCH(VALUE(MID(G944,1,2)),Schwierigkeitsstufen!$G$7:$G$19,0)),"Gerät falsch",LOOKUP(VALUE(MID(G944,1,2)),Schwierigkeitsstufen!$G$7:$G$19,Schwierigkeitsstufen!$H$7:$H$19)))</f>
        <v/>
      </c>
      <c r="AB944" s="250" t="str">
        <f>IF((($A944="")*($B944=""))+((MID($Y944,1,4)&lt;&gt;"Wahl")*(Deckblatt!$C$14='WK-Vorlagen'!$C$82))+(Deckblatt!$C$14&lt;&gt;'WK-Vorlagen'!$C$82),"",IF(ISERROR(MATCH(VALUE(MID(H944,1,2)),Schwierigkeitsstufen!$G$7:$G$19,0)),"Gerät falsch",LOOKUP(VALUE(MID(H944,1,2)),Schwierigkeitsstufen!$G$7:$G$19,Schwierigkeitsstufen!$H$7:$H$19)))</f>
        <v/>
      </c>
      <c r="AC944" s="250" t="str">
        <f>IF((($A944="")*($B944=""))+((MID($Y944,1,4)&lt;&gt;"Wahl")*(Deckblatt!$C$14='WK-Vorlagen'!$C$82))+(Deckblatt!$C$14&lt;&gt;'WK-Vorlagen'!$C$82),"",IF(ISERROR(MATCH(VALUE(MID(I944,1,2)),Schwierigkeitsstufen!$G$7:$G$19,0)),"Gerät falsch",LOOKUP(VALUE(MID(I944,1,2)),Schwierigkeitsstufen!$G$7:$G$19,Schwierigkeitsstufen!$H$7:$H$19)))</f>
        <v/>
      </c>
      <c r="AD944" s="251" t="str">
        <f>IF((($A944="")*($B944=""))+((MID($Y944,1,4)&lt;&gt;"Wahl")*(Deckblatt!$C$14='WK-Vorlagen'!$C$82))+(Deckblatt!$C$14&lt;&gt;'WK-Vorlagen'!$C$82),"",IF(ISERROR(MATCH(VALUE(MID(J944,1,2)),Schwierigkeitsstufen!$G$7:$G$19,0)),"Gerät falsch",LOOKUP(VALUE(MID(J944,1,2)),Schwierigkeitsstufen!$G$7:$G$19,Schwierigkeitsstufen!$H$7:$H$19)))</f>
        <v/>
      </c>
      <c r="AE944" s="211"/>
      <c r="AG944" s="221" t="str">
        <f t="shared" si="126"/>
        <v/>
      </c>
      <c r="AH944" s="222" t="str">
        <f t="shared" si="128"/>
        <v/>
      </c>
      <c r="AI944" s="220">
        <f t="shared" si="133"/>
        <v>4</v>
      </c>
      <c r="AJ944" s="222">
        <f t="shared" si="129"/>
        <v>0</v>
      </c>
      <c r="AK944" s="299" t="str">
        <f>IF(ISERROR(LOOKUP(E944,WKNrListe,Übersicht!$R$7:$R$46)),"-",LOOKUP(E944,WKNrListe,Übersicht!$R$7:$R$46))</f>
        <v>-</v>
      </c>
      <c r="AL944" s="299" t="str">
        <f t="shared" si="132"/>
        <v>-</v>
      </c>
      <c r="AM944" s="303"/>
      <c r="AN944" s="174" t="str">
        <f t="shared" si="134"/>
        <v>Leer</v>
      </c>
    </row>
    <row r="945" spans="1:40" s="174" customFormat="1" ht="15" customHeight="1">
      <c r="A945" s="63"/>
      <c r="B945" s="63"/>
      <c r="C945" s="84"/>
      <c r="D945" s="85"/>
      <c r="E945" s="62"/>
      <c r="F945" s="62"/>
      <c r="G945" s="62"/>
      <c r="H945" s="62"/>
      <c r="I945" s="62"/>
      <c r="J945" s="62"/>
      <c r="K945" s="62"/>
      <c r="L945" s="62"/>
      <c r="M945" s="62"/>
      <c r="N945" s="62"/>
      <c r="O945" s="62"/>
      <c r="P945" s="62"/>
      <c r="Q945" s="62"/>
      <c r="R945" s="62"/>
      <c r="S945" s="258"/>
      <c r="T945" s="248" t="str">
        <f t="shared" si="130"/>
        <v/>
      </c>
      <c r="U945" s="249" t="str">
        <f t="shared" si="131"/>
        <v/>
      </c>
      <c r="V945" s="294" t="str">
        <f t="shared" si="127"/>
        <v/>
      </c>
      <c r="W945" s="294" t="str">
        <f>IF(((E945="")+(F945="")),"",IF(VLOOKUP(F945,Mannschaften!$A$1:$B$54,2,FALSE)&lt;&gt;E945,"Reiter Mannschaften füllen",""))</f>
        <v/>
      </c>
      <c r="X945" s="248" t="str">
        <f>IF(ISBLANK(C945),"",IF((U945&gt;(LOOKUP(E945,WKNrListe,Übersicht!$O$7:$O$46)))+(U945&lt;(LOOKUP(E945,WKNrListe,Übersicht!$P$7:$P$46))),"JG falsch",""))</f>
        <v/>
      </c>
      <c r="Y945" s="255" t="str">
        <f>IF((A945="")*(B945=""),"",IF(ISERROR(MATCH(E945,WKNrListe,0)),"WK falsch",LOOKUP(E945,WKNrListe,Übersicht!$B$7:$B$46)))</f>
        <v/>
      </c>
      <c r="Z945" s="269" t="str">
        <f>IF(((AJ945=0)*(AH945&lt;&gt;"")*(AK945="-"))+((AJ945&lt;&gt;0)*(AH945&lt;&gt;"")*(AK945="-")),IF(AG945="X",Übersicht!$C$70,Übersicht!$C$69),"-")</f>
        <v>-</v>
      </c>
      <c r="AA945" s="252" t="str">
        <f>IF((($A945="")*($B945=""))+((MID($Y945,1,4)&lt;&gt;"Wahl")*(Deckblatt!$C$14='WK-Vorlagen'!$C$82))+(Deckblatt!$C$14&lt;&gt;'WK-Vorlagen'!$C$82),"",IF(ISERROR(MATCH(VALUE(MID(G945,1,2)),Schwierigkeitsstufen!$G$7:$G$19,0)),"Gerät falsch",LOOKUP(VALUE(MID(G945,1,2)),Schwierigkeitsstufen!$G$7:$G$19,Schwierigkeitsstufen!$H$7:$H$19)))</f>
        <v/>
      </c>
      <c r="AB945" s="250" t="str">
        <f>IF((($A945="")*($B945=""))+((MID($Y945,1,4)&lt;&gt;"Wahl")*(Deckblatt!$C$14='WK-Vorlagen'!$C$82))+(Deckblatt!$C$14&lt;&gt;'WK-Vorlagen'!$C$82),"",IF(ISERROR(MATCH(VALUE(MID(H945,1,2)),Schwierigkeitsstufen!$G$7:$G$19,0)),"Gerät falsch",LOOKUP(VALUE(MID(H945,1,2)),Schwierigkeitsstufen!$G$7:$G$19,Schwierigkeitsstufen!$H$7:$H$19)))</f>
        <v/>
      </c>
      <c r="AC945" s="250" t="str">
        <f>IF((($A945="")*($B945=""))+((MID($Y945,1,4)&lt;&gt;"Wahl")*(Deckblatt!$C$14='WK-Vorlagen'!$C$82))+(Deckblatt!$C$14&lt;&gt;'WK-Vorlagen'!$C$82),"",IF(ISERROR(MATCH(VALUE(MID(I945,1,2)),Schwierigkeitsstufen!$G$7:$G$19,0)),"Gerät falsch",LOOKUP(VALUE(MID(I945,1,2)),Schwierigkeitsstufen!$G$7:$G$19,Schwierigkeitsstufen!$H$7:$H$19)))</f>
        <v/>
      </c>
      <c r="AD945" s="251" t="str">
        <f>IF((($A945="")*($B945=""))+((MID($Y945,1,4)&lt;&gt;"Wahl")*(Deckblatt!$C$14='WK-Vorlagen'!$C$82))+(Deckblatt!$C$14&lt;&gt;'WK-Vorlagen'!$C$82),"",IF(ISERROR(MATCH(VALUE(MID(J945,1,2)),Schwierigkeitsstufen!$G$7:$G$19,0)),"Gerät falsch",LOOKUP(VALUE(MID(J945,1,2)),Schwierigkeitsstufen!$G$7:$G$19,Schwierigkeitsstufen!$H$7:$H$19)))</f>
        <v/>
      </c>
      <c r="AE945" s="211"/>
      <c r="AG945" s="221" t="str">
        <f t="shared" si="126"/>
        <v/>
      </c>
      <c r="AH945" s="222" t="str">
        <f t="shared" si="128"/>
        <v/>
      </c>
      <c r="AI945" s="220">
        <f t="shared" si="133"/>
        <v>4</v>
      </c>
      <c r="AJ945" s="222">
        <f t="shared" si="129"/>
        <v>0</v>
      </c>
      <c r="AK945" s="299" t="str">
        <f>IF(ISERROR(LOOKUP(E945,WKNrListe,Übersicht!$R$7:$R$46)),"-",LOOKUP(E945,WKNrListe,Übersicht!$R$7:$R$46))</f>
        <v>-</v>
      </c>
      <c r="AL945" s="299" t="str">
        <f t="shared" si="132"/>
        <v>-</v>
      </c>
      <c r="AM945" s="303"/>
      <c r="AN945" s="174" t="str">
        <f t="shared" si="134"/>
        <v>Leer</v>
      </c>
    </row>
    <row r="946" spans="1:40" s="174" customFormat="1" ht="15" customHeight="1">
      <c r="A946" s="63"/>
      <c r="B946" s="63"/>
      <c r="C946" s="84"/>
      <c r="D946" s="85"/>
      <c r="E946" s="62"/>
      <c r="F946" s="62"/>
      <c r="G946" s="62"/>
      <c r="H946" s="62"/>
      <c r="I946" s="62"/>
      <c r="J946" s="62"/>
      <c r="K946" s="62"/>
      <c r="L946" s="62"/>
      <c r="M946" s="62"/>
      <c r="N946" s="62"/>
      <c r="O946" s="62"/>
      <c r="P946" s="62"/>
      <c r="Q946" s="62"/>
      <c r="R946" s="62"/>
      <c r="S946" s="258"/>
      <c r="T946" s="248" t="str">
        <f t="shared" si="130"/>
        <v/>
      </c>
      <c r="U946" s="249" t="str">
        <f t="shared" si="131"/>
        <v/>
      </c>
      <c r="V946" s="294" t="str">
        <f t="shared" si="127"/>
        <v/>
      </c>
      <c r="W946" s="294" t="str">
        <f>IF(((E946="")+(F946="")),"",IF(VLOOKUP(F946,Mannschaften!$A$1:$B$54,2,FALSE)&lt;&gt;E946,"Reiter Mannschaften füllen",""))</f>
        <v/>
      </c>
      <c r="X946" s="248" t="str">
        <f>IF(ISBLANK(C946),"",IF((U946&gt;(LOOKUP(E946,WKNrListe,Übersicht!$O$7:$O$46)))+(U946&lt;(LOOKUP(E946,WKNrListe,Übersicht!$P$7:$P$46))),"JG falsch",""))</f>
        <v/>
      </c>
      <c r="Y946" s="255" t="str">
        <f>IF((A946="")*(B946=""),"",IF(ISERROR(MATCH(E946,WKNrListe,0)),"WK falsch",LOOKUP(E946,WKNrListe,Übersicht!$B$7:$B$46)))</f>
        <v/>
      </c>
      <c r="Z946" s="269" t="str">
        <f>IF(((AJ946=0)*(AH946&lt;&gt;"")*(AK946="-"))+((AJ946&lt;&gt;0)*(AH946&lt;&gt;"")*(AK946="-")),IF(AG946="X",Übersicht!$C$70,Übersicht!$C$69),"-")</f>
        <v>-</v>
      </c>
      <c r="AA946" s="252" t="str">
        <f>IF((($A946="")*($B946=""))+((MID($Y946,1,4)&lt;&gt;"Wahl")*(Deckblatt!$C$14='WK-Vorlagen'!$C$82))+(Deckblatt!$C$14&lt;&gt;'WK-Vorlagen'!$C$82),"",IF(ISERROR(MATCH(VALUE(MID(G946,1,2)),Schwierigkeitsstufen!$G$7:$G$19,0)),"Gerät falsch",LOOKUP(VALUE(MID(G946,1,2)),Schwierigkeitsstufen!$G$7:$G$19,Schwierigkeitsstufen!$H$7:$H$19)))</f>
        <v/>
      </c>
      <c r="AB946" s="250" t="str">
        <f>IF((($A946="")*($B946=""))+((MID($Y946,1,4)&lt;&gt;"Wahl")*(Deckblatt!$C$14='WK-Vorlagen'!$C$82))+(Deckblatt!$C$14&lt;&gt;'WK-Vorlagen'!$C$82),"",IF(ISERROR(MATCH(VALUE(MID(H946,1,2)),Schwierigkeitsstufen!$G$7:$G$19,0)),"Gerät falsch",LOOKUP(VALUE(MID(H946,1,2)),Schwierigkeitsstufen!$G$7:$G$19,Schwierigkeitsstufen!$H$7:$H$19)))</f>
        <v/>
      </c>
      <c r="AC946" s="250" t="str">
        <f>IF((($A946="")*($B946=""))+((MID($Y946,1,4)&lt;&gt;"Wahl")*(Deckblatt!$C$14='WK-Vorlagen'!$C$82))+(Deckblatt!$C$14&lt;&gt;'WK-Vorlagen'!$C$82),"",IF(ISERROR(MATCH(VALUE(MID(I946,1,2)),Schwierigkeitsstufen!$G$7:$G$19,0)),"Gerät falsch",LOOKUP(VALUE(MID(I946,1,2)),Schwierigkeitsstufen!$G$7:$G$19,Schwierigkeitsstufen!$H$7:$H$19)))</f>
        <v/>
      </c>
      <c r="AD946" s="251" t="str">
        <f>IF((($A946="")*($B946=""))+((MID($Y946,1,4)&lt;&gt;"Wahl")*(Deckblatt!$C$14='WK-Vorlagen'!$C$82))+(Deckblatt!$C$14&lt;&gt;'WK-Vorlagen'!$C$82),"",IF(ISERROR(MATCH(VALUE(MID(J946,1,2)),Schwierigkeitsstufen!$G$7:$G$19,0)),"Gerät falsch",LOOKUP(VALUE(MID(J946,1,2)),Schwierigkeitsstufen!$G$7:$G$19,Schwierigkeitsstufen!$H$7:$H$19)))</f>
        <v/>
      </c>
      <c r="AE946" s="211"/>
      <c r="AG946" s="221" t="str">
        <f t="shared" si="126"/>
        <v/>
      </c>
      <c r="AH946" s="222" t="str">
        <f t="shared" si="128"/>
        <v/>
      </c>
      <c r="AI946" s="220">
        <f t="shared" si="133"/>
        <v>4</v>
      </c>
      <c r="AJ946" s="222">
        <f t="shared" si="129"/>
        <v>0</v>
      </c>
      <c r="AK946" s="299" t="str">
        <f>IF(ISERROR(LOOKUP(E946,WKNrListe,Übersicht!$R$7:$R$46)),"-",LOOKUP(E946,WKNrListe,Übersicht!$R$7:$R$46))</f>
        <v>-</v>
      </c>
      <c r="AL946" s="299" t="str">
        <f t="shared" si="132"/>
        <v>-</v>
      </c>
      <c r="AM946" s="303"/>
      <c r="AN946" s="174" t="str">
        <f t="shared" si="134"/>
        <v>Leer</v>
      </c>
    </row>
    <row r="947" spans="1:40" s="174" customFormat="1" ht="15" customHeight="1">
      <c r="A947" s="63"/>
      <c r="B947" s="63"/>
      <c r="C947" s="84"/>
      <c r="D947" s="85"/>
      <c r="E947" s="62"/>
      <c r="F947" s="62"/>
      <c r="G947" s="62"/>
      <c r="H947" s="62"/>
      <c r="I947" s="62"/>
      <c r="J947" s="62"/>
      <c r="K947" s="62"/>
      <c r="L947" s="62"/>
      <c r="M947" s="62"/>
      <c r="N947" s="62"/>
      <c r="O947" s="62"/>
      <c r="P947" s="62"/>
      <c r="Q947" s="62"/>
      <c r="R947" s="62"/>
      <c r="S947" s="258"/>
      <c r="T947" s="248" t="str">
        <f t="shared" si="130"/>
        <v/>
      </c>
      <c r="U947" s="249" t="str">
        <f t="shared" si="131"/>
        <v/>
      </c>
      <c r="V947" s="294" t="str">
        <f t="shared" si="127"/>
        <v/>
      </c>
      <c r="W947" s="294" t="str">
        <f>IF(((E947="")+(F947="")),"",IF(VLOOKUP(F947,Mannschaften!$A$1:$B$54,2,FALSE)&lt;&gt;E947,"Reiter Mannschaften füllen",""))</f>
        <v/>
      </c>
      <c r="X947" s="248" t="str">
        <f>IF(ISBLANK(C947),"",IF((U947&gt;(LOOKUP(E947,WKNrListe,Übersicht!$O$7:$O$46)))+(U947&lt;(LOOKUP(E947,WKNrListe,Übersicht!$P$7:$P$46))),"JG falsch",""))</f>
        <v/>
      </c>
      <c r="Y947" s="255" t="str">
        <f>IF((A947="")*(B947=""),"",IF(ISERROR(MATCH(E947,WKNrListe,0)),"WK falsch",LOOKUP(E947,WKNrListe,Übersicht!$B$7:$B$46)))</f>
        <v/>
      </c>
      <c r="Z947" s="269" t="str">
        <f>IF(((AJ947=0)*(AH947&lt;&gt;"")*(AK947="-"))+((AJ947&lt;&gt;0)*(AH947&lt;&gt;"")*(AK947="-")),IF(AG947="X",Übersicht!$C$70,Übersicht!$C$69),"-")</f>
        <v>-</v>
      </c>
      <c r="AA947" s="252" t="str">
        <f>IF((($A947="")*($B947=""))+((MID($Y947,1,4)&lt;&gt;"Wahl")*(Deckblatt!$C$14='WK-Vorlagen'!$C$82))+(Deckblatt!$C$14&lt;&gt;'WK-Vorlagen'!$C$82),"",IF(ISERROR(MATCH(VALUE(MID(G947,1,2)),Schwierigkeitsstufen!$G$7:$G$19,0)),"Gerät falsch",LOOKUP(VALUE(MID(G947,1,2)),Schwierigkeitsstufen!$G$7:$G$19,Schwierigkeitsstufen!$H$7:$H$19)))</f>
        <v/>
      </c>
      <c r="AB947" s="250" t="str">
        <f>IF((($A947="")*($B947=""))+((MID($Y947,1,4)&lt;&gt;"Wahl")*(Deckblatt!$C$14='WK-Vorlagen'!$C$82))+(Deckblatt!$C$14&lt;&gt;'WK-Vorlagen'!$C$82),"",IF(ISERROR(MATCH(VALUE(MID(H947,1,2)),Schwierigkeitsstufen!$G$7:$G$19,0)),"Gerät falsch",LOOKUP(VALUE(MID(H947,1,2)),Schwierigkeitsstufen!$G$7:$G$19,Schwierigkeitsstufen!$H$7:$H$19)))</f>
        <v/>
      </c>
      <c r="AC947" s="250" t="str">
        <f>IF((($A947="")*($B947=""))+((MID($Y947,1,4)&lt;&gt;"Wahl")*(Deckblatt!$C$14='WK-Vorlagen'!$C$82))+(Deckblatt!$C$14&lt;&gt;'WK-Vorlagen'!$C$82),"",IF(ISERROR(MATCH(VALUE(MID(I947,1,2)),Schwierigkeitsstufen!$G$7:$G$19,0)),"Gerät falsch",LOOKUP(VALUE(MID(I947,1,2)),Schwierigkeitsstufen!$G$7:$G$19,Schwierigkeitsstufen!$H$7:$H$19)))</f>
        <v/>
      </c>
      <c r="AD947" s="251" t="str">
        <f>IF((($A947="")*($B947=""))+((MID($Y947,1,4)&lt;&gt;"Wahl")*(Deckblatt!$C$14='WK-Vorlagen'!$C$82))+(Deckblatt!$C$14&lt;&gt;'WK-Vorlagen'!$C$82),"",IF(ISERROR(MATCH(VALUE(MID(J947,1,2)),Schwierigkeitsstufen!$G$7:$G$19,0)),"Gerät falsch",LOOKUP(VALUE(MID(J947,1,2)),Schwierigkeitsstufen!$G$7:$G$19,Schwierigkeitsstufen!$H$7:$H$19)))</f>
        <v/>
      </c>
      <c r="AE947" s="211"/>
      <c r="AG947" s="221" t="str">
        <f t="shared" si="126"/>
        <v/>
      </c>
      <c r="AH947" s="222" t="str">
        <f t="shared" si="128"/>
        <v/>
      </c>
      <c r="AI947" s="220">
        <f t="shared" si="133"/>
        <v>4</v>
      </c>
      <c r="AJ947" s="222">
        <f t="shared" si="129"/>
        <v>0</v>
      </c>
      <c r="AK947" s="299" t="str">
        <f>IF(ISERROR(LOOKUP(E947,WKNrListe,Übersicht!$R$7:$R$46)),"-",LOOKUP(E947,WKNrListe,Übersicht!$R$7:$R$46))</f>
        <v>-</v>
      </c>
      <c r="AL947" s="299" t="str">
        <f t="shared" si="132"/>
        <v>-</v>
      </c>
      <c r="AM947" s="303"/>
      <c r="AN947" s="174" t="str">
        <f t="shared" si="134"/>
        <v>Leer</v>
      </c>
    </row>
    <row r="948" spans="1:40" s="174" customFormat="1" ht="15" customHeight="1">
      <c r="A948" s="63"/>
      <c r="B948" s="63"/>
      <c r="C948" s="84"/>
      <c r="D948" s="85"/>
      <c r="E948" s="62"/>
      <c r="F948" s="62"/>
      <c r="G948" s="62"/>
      <c r="H948" s="62"/>
      <c r="I948" s="62"/>
      <c r="J948" s="62"/>
      <c r="K948" s="62"/>
      <c r="L948" s="62"/>
      <c r="M948" s="62"/>
      <c r="N948" s="62"/>
      <c r="O948" s="62"/>
      <c r="P948" s="62"/>
      <c r="Q948" s="62"/>
      <c r="R948" s="62"/>
      <c r="S948" s="258"/>
      <c r="T948" s="248" t="str">
        <f t="shared" si="130"/>
        <v/>
      </c>
      <c r="U948" s="249" t="str">
        <f t="shared" si="131"/>
        <v/>
      </c>
      <c r="V948" s="294" t="str">
        <f t="shared" si="127"/>
        <v/>
      </c>
      <c r="W948" s="294" t="str">
        <f>IF(((E948="")+(F948="")),"",IF(VLOOKUP(F948,Mannschaften!$A$1:$B$54,2,FALSE)&lt;&gt;E948,"Reiter Mannschaften füllen",""))</f>
        <v/>
      </c>
      <c r="X948" s="248" t="str">
        <f>IF(ISBLANK(C948),"",IF((U948&gt;(LOOKUP(E948,WKNrListe,Übersicht!$O$7:$O$46)))+(U948&lt;(LOOKUP(E948,WKNrListe,Übersicht!$P$7:$P$46))),"JG falsch",""))</f>
        <v/>
      </c>
      <c r="Y948" s="255" t="str">
        <f>IF((A948="")*(B948=""),"",IF(ISERROR(MATCH(E948,WKNrListe,0)),"WK falsch",LOOKUP(E948,WKNrListe,Übersicht!$B$7:$B$46)))</f>
        <v/>
      </c>
      <c r="Z948" s="269" t="str">
        <f>IF(((AJ948=0)*(AH948&lt;&gt;"")*(AK948="-"))+((AJ948&lt;&gt;0)*(AH948&lt;&gt;"")*(AK948="-")),IF(AG948="X",Übersicht!$C$70,Übersicht!$C$69),"-")</f>
        <v>-</v>
      </c>
      <c r="AA948" s="252" t="str">
        <f>IF((($A948="")*($B948=""))+((MID($Y948,1,4)&lt;&gt;"Wahl")*(Deckblatt!$C$14='WK-Vorlagen'!$C$82))+(Deckblatt!$C$14&lt;&gt;'WK-Vorlagen'!$C$82),"",IF(ISERROR(MATCH(VALUE(MID(G948,1,2)),Schwierigkeitsstufen!$G$7:$G$19,0)),"Gerät falsch",LOOKUP(VALUE(MID(G948,1,2)),Schwierigkeitsstufen!$G$7:$G$19,Schwierigkeitsstufen!$H$7:$H$19)))</f>
        <v/>
      </c>
      <c r="AB948" s="250" t="str">
        <f>IF((($A948="")*($B948=""))+((MID($Y948,1,4)&lt;&gt;"Wahl")*(Deckblatt!$C$14='WK-Vorlagen'!$C$82))+(Deckblatt!$C$14&lt;&gt;'WK-Vorlagen'!$C$82),"",IF(ISERROR(MATCH(VALUE(MID(H948,1,2)),Schwierigkeitsstufen!$G$7:$G$19,0)),"Gerät falsch",LOOKUP(VALUE(MID(H948,1,2)),Schwierigkeitsstufen!$G$7:$G$19,Schwierigkeitsstufen!$H$7:$H$19)))</f>
        <v/>
      </c>
      <c r="AC948" s="250" t="str">
        <f>IF((($A948="")*($B948=""))+((MID($Y948,1,4)&lt;&gt;"Wahl")*(Deckblatt!$C$14='WK-Vorlagen'!$C$82))+(Deckblatt!$C$14&lt;&gt;'WK-Vorlagen'!$C$82),"",IF(ISERROR(MATCH(VALUE(MID(I948,1,2)),Schwierigkeitsstufen!$G$7:$G$19,0)),"Gerät falsch",LOOKUP(VALUE(MID(I948,1,2)),Schwierigkeitsstufen!$G$7:$G$19,Schwierigkeitsstufen!$H$7:$H$19)))</f>
        <v/>
      </c>
      <c r="AD948" s="251" t="str">
        <f>IF((($A948="")*($B948=""))+((MID($Y948,1,4)&lt;&gt;"Wahl")*(Deckblatt!$C$14='WK-Vorlagen'!$C$82))+(Deckblatt!$C$14&lt;&gt;'WK-Vorlagen'!$C$82),"",IF(ISERROR(MATCH(VALUE(MID(J948,1,2)),Schwierigkeitsstufen!$G$7:$G$19,0)),"Gerät falsch",LOOKUP(VALUE(MID(J948,1,2)),Schwierigkeitsstufen!$G$7:$G$19,Schwierigkeitsstufen!$H$7:$H$19)))</f>
        <v/>
      </c>
      <c r="AE948" s="211"/>
      <c r="AG948" s="221" t="str">
        <f t="shared" si="126"/>
        <v/>
      </c>
      <c r="AH948" s="222" t="str">
        <f t="shared" si="128"/>
        <v/>
      </c>
      <c r="AI948" s="220">
        <f t="shared" si="133"/>
        <v>4</v>
      </c>
      <c r="AJ948" s="222">
        <f t="shared" si="129"/>
        <v>0</v>
      </c>
      <c r="AK948" s="299" t="str">
        <f>IF(ISERROR(LOOKUP(E948,WKNrListe,Übersicht!$R$7:$R$46)),"-",LOOKUP(E948,WKNrListe,Übersicht!$R$7:$R$46))</f>
        <v>-</v>
      </c>
      <c r="AL948" s="299" t="str">
        <f t="shared" si="132"/>
        <v>-</v>
      </c>
      <c r="AM948" s="303"/>
      <c r="AN948" s="174" t="str">
        <f t="shared" si="134"/>
        <v>Leer</v>
      </c>
    </row>
    <row r="949" spans="1:40" s="174" customFormat="1" ht="15" customHeight="1">
      <c r="A949" s="63"/>
      <c r="B949" s="63"/>
      <c r="C949" s="84"/>
      <c r="D949" s="85"/>
      <c r="E949" s="62"/>
      <c r="F949" s="62"/>
      <c r="G949" s="62"/>
      <c r="H949" s="62"/>
      <c r="I949" s="62"/>
      <c r="J949" s="62"/>
      <c r="K949" s="62"/>
      <c r="L949" s="62"/>
      <c r="M949" s="62"/>
      <c r="N949" s="62"/>
      <c r="O949" s="62"/>
      <c r="P949" s="62"/>
      <c r="Q949" s="62"/>
      <c r="R949" s="62"/>
      <c r="S949" s="258"/>
      <c r="T949" s="248" t="str">
        <f t="shared" si="130"/>
        <v/>
      </c>
      <c r="U949" s="249" t="str">
        <f t="shared" si="131"/>
        <v/>
      </c>
      <c r="V949" s="294" t="str">
        <f t="shared" si="127"/>
        <v/>
      </c>
      <c r="W949" s="294" t="str">
        <f>IF(((E949="")+(F949="")),"",IF(VLOOKUP(F949,Mannschaften!$A$1:$B$54,2,FALSE)&lt;&gt;E949,"Reiter Mannschaften füllen",""))</f>
        <v/>
      </c>
      <c r="X949" s="248" t="str">
        <f>IF(ISBLANK(C949),"",IF((U949&gt;(LOOKUP(E949,WKNrListe,Übersicht!$O$7:$O$46)))+(U949&lt;(LOOKUP(E949,WKNrListe,Übersicht!$P$7:$P$46))),"JG falsch",""))</f>
        <v/>
      </c>
      <c r="Y949" s="255" t="str">
        <f>IF((A949="")*(B949=""),"",IF(ISERROR(MATCH(E949,WKNrListe,0)),"WK falsch",LOOKUP(E949,WKNrListe,Übersicht!$B$7:$B$46)))</f>
        <v/>
      </c>
      <c r="Z949" s="269" t="str">
        <f>IF(((AJ949=0)*(AH949&lt;&gt;"")*(AK949="-"))+((AJ949&lt;&gt;0)*(AH949&lt;&gt;"")*(AK949="-")),IF(AG949="X",Übersicht!$C$70,Übersicht!$C$69),"-")</f>
        <v>-</v>
      </c>
      <c r="AA949" s="252" t="str">
        <f>IF((($A949="")*($B949=""))+((MID($Y949,1,4)&lt;&gt;"Wahl")*(Deckblatt!$C$14='WK-Vorlagen'!$C$82))+(Deckblatt!$C$14&lt;&gt;'WK-Vorlagen'!$C$82),"",IF(ISERROR(MATCH(VALUE(MID(G949,1,2)),Schwierigkeitsstufen!$G$7:$G$19,0)),"Gerät falsch",LOOKUP(VALUE(MID(G949,1,2)),Schwierigkeitsstufen!$G$7:$G$19,Schwierigkeitsstufen!$H$7:$H$19)))</f>
        <v/>
      </c>
      <c r="AB949" s="250" t="str">
        <f>IF((($A949="")*($B949=""))+((MID($Y949,1,4)&lt;&gt;"Wahl")*(Deckblatt!$C$14='WK-Vorlagen'!$C$82))+(Deckblatt!$C$14&lt;&gt;'WK-Vorlagen'!$C$82),"",IF(ISERROR(MATCH(VALUE(MID(H949,1,2)),Schwierigkeitsstufen!$G$7:$G$19,0)),"Gerät falsch",LOOKUP(VALUE(MID(H949,1,2)),Schwierigkeitsstufen!$G$7:$G$19,Schwierigkeitsstufen!$H$7:$H$19)))</f>
        <v/>
      </c>
      <c r="AC949" s="250" t="str">
        <f>IF((($A949="")*($B949=""))+((MID($Y949,1,4)&lt;&gt;"Wahl")*(Deckblatt!$C$14='WK-Vorlagen'!$C$82))+(Deckblatt!$C$14&lt;&gt;'WK-Vorlagen'!$C$82),"",IF(ISERROR(MATCH(VALUE(MID(I949,1,2)),Schwierigkeitsstufen!$G$7:$G$19,0)),"Gerät falsch",LOOKUP(VALUE(MID(I949,1,2)),Schwierigkeitsstufen!$G$7:$G$19,Schwierigkeitsstufen!$H$7:$H$19)))</f>
        <v/>
      </c>
      <c r="AD949" s="251" t="str">
        <f>IF((($A949="")*($B949=""))+((MID($Y949,1,4)&lt;&gt;"Wahl")*(Deckblatt!$C$14='WK-Vorlagen'!$C$82))+(Deckblatt!$C$14&lt;&gt;'WK-Vorlagen'!$C$82),"",IF(ISERROR(MATCH(VALUE(MID(J949,1,2)),Schwierigkeitsstufen!$G$7:$G$19,0)),"Gerät falsch",LOOKUP(VALUE(MID(J949,1,2)),Schwierigkeitsstufen!$G$7:$G$19,Schwierigkeitsstufen!$H$7:$H$19)))</f>
        <v/>
      </c>
      <c r="AE949" s="211"/>
      <c r="AG949" s="221" t="str">
        <f t="shared" si="126"/>
        <v/>
      </c>
      <c r="AH949" s="222" t="str">
        <f t="shared" si="128"/>
        <v/>
      </c>
      <c r="AI949" s="220">
        <f t="shared" si="133"/>
        <v>4</v>
      </c>
      <c r="AJ949" s="222">
        <f t="shared" si="129"/>
        <v>0</v>
      </c>
      <c r="AK949" s="299" t="str">
        <f>IF(ISERROR(LOOKUP(E949,WKNrListe,Übersicht!$R$7:$R$46)),"-",LOOKUP(E949,WKNrListe,Übersicht!$R$7:$R$46))</f>
        <v>-</v>
      </c>
      <c r="AL949" s="299" t="str">
        <f t="shared" si="132"/>
        <v>-</v>
      </c>
      <c r="AM949" s="303"/>
      <c r="AN949" s="174" t="str">
        <f t="shared" si="134"/>
        <v>Leer</v>
      </c>
    </row>
    <row r="950" spans="1:40" s="174" customFormat="1" ht="15" customHeight="1">
      <c r="A950" s="63"/>
      <c r="B950" s="63"/>
      <c r="C950" s="84"/>
      <c r="D950" s="85"/>
      <c r="E950" s="62"/>
      <c r="F950" s="62"/>
      <c r="G950" s="62"/>
      <c r="H950" s="62"/>
      <c r="I950" s="62"/>
      <c r="J950" s="62"/>
      <c r="K950" s="62"/>
      <c r="L950" s="62"/>
      <c r="M950" s="62"/>
      <c r="N950" s="62"/>
      <c r="O950" s="62"/>
      <c r="P950" s="62"/>
      <c r="Q950" s="62"/>
      <c r="R950" s="62"/>
      <c r="S950" s="258"/>
      <c r="T950" s="248" t="str">
        <f t="shared" si="130"/>
        <v/>
      </c>
      <c r="U950" s="249" t="str">
        <f t="shared" si="131"/>
        <v/>
      </c>
      <c r="V950" s="294" t="str">
        <f t="shared" si="127"/>
        <v/>
      </c>
      <c r="W950" s="294" t="str">
        <f>IF(((E950="")+(F950="")),"",IF(VLOOKUP(F950,Mannschaften!$A$1:$B$54,2,FALSE)&lt;&gt;E950,"Reiter Mannschaften füllen",""))</f>
        <v/>
      </c>
      <c r="X950" s="248" t="str">
        <f>IF(ISBLANK(C950),"",IF((U950&gt;(LOOKUP(E950,WKNrListe,Übersicht!$O$7:$O$46)))+(U950&lt;(LOOKUP(E950,WKNrListe,Übersicht!$P$7:$P$46))),"JG falsch",""))</f>
        <v/>
      </c>
      <c r="Y950" s="255" t="str">
        <f>IF((A950="")*(B950=""),"",IF(ISERROR(MATCH(E950,WKNrListe,0)),"WK falsch",LOOKUP(E950,WKNrListe,Übersicht!$B$7:$B$46)))</f>
        <v/>
      </c>
      <c r="Z950" s="269" t="str">
        <f>IF(((AJ950=0)*(AH950&lt;&gt;"")*(AK950="-"))+((AJ950&lt;&gt;0)*(AH950&lt;&gt;"")*(AK950="-")),IF(AG950="X",Übersicht!$C$70,Übersicht!$C$69),"-")</f>
        <v>-</v>
      </c>
      <c r="AA950" s="252" t="str">
        <f>IF((($A950="")*($B950=""))+((MID($Y950,1,4)&lt;&gt;"Wahl")*(Deckblatt!$C$14='WK-Vorlagen'!$C$82))+(Deckblatt!$C$14&lt;&gt;'WK-Vorlagen'!$C$82),"",IF(ISERROR(MATCH(VALUE(MID(G950,1,2)),Schwierigkeitsstufen!$G$7:$G$19,0)),"Gerät falsch",LOOKUP(VALUE(MID(G950,1,2)),Schwierigkeitsstufen!$G$7:$G$19,Schwierigkeitsstufen!$H$7:$H$19)))</f>
        <v/>
      </c>
      <c r="AB950" s="250" t="str">
        <f>IF((($A950="")*($B950=""))+((MID($Y950,1,4)&lt;&gt;"Wahl")*(Deckblatt!$C$14='WK-Vorlagen'!$C$82))+(Deckblatt!$C$14&lt;&gt;'WK-Vorlagen'!$C$82),"",IF(ISERROR(MATCH(VALUE(MID(H950,1,2)),Schwierigkeitsstufen!$G$7:$G$19,0)),"Gerät falsch",LOOKUP(VALUE(MID(H950,1,2)),Schwierigkeitsstufen!$G$7:$G$19,Schwierigkeitsstufen!$H$7:$H$19)))</f>
        <v/>
      </c>
      <c r="AC950" s="250" t="str">
        <f>IF((($A950="")*($B950=""))+((MID($Y950,1,4)&lt;&gt;"Wahl")*(Deckblatt!$C$14='WK-Vorlagen'!$C$82))+(Deckblatt!$C$14&lt;&gt;'WK-Vorlagen'!$C$82),"",IF(ISERROR(MATCH(VALUE(MID(I950,1,2)),Schwierigkeitsstufen!$G$7:$G$19,0)),"Gerät falsch",LOOKUP(VALUE(MID(I950,1,2)),Schwierigkeitsstufen!$G$7:$G$19,Schwierigkeitsstufen!$H$7:$H$19)))</f>
        <v/>
      </c>
      <c r="AD950" s="251" t="str">
        <f>IF((($A950="")*($B950=""))+((MID($Y950,1,4)&lt;&gt;"Wahl")*(Deckblatt!$C$14='WK-Vorlagen'!$C$82))+(Deckblatt!$C$14&lt;&gt;'WK-Vorlagen'!$C$82),"",IF(ISERROR(MATCH(VALUE(MID(J950,1,2)),Schwierigkeitsstufen!$G$7:$G$19,0)),"Gerät falsch",LOOKUP(VALUE(MID(J950,1,2)),Schwierigkeitsstufen!$G$7:$G$19,Schwierigkeitsstufen!$H$7:$H$19)))</f>
        <v/>
      </c>
      <c r="AE950" s="211"/>
      <c r="AG950" s="221" t="str">
        <f t="shared" si="126"/>
        <v/>
      </c>
      <c r="AH950" s="222" t="str">
        <f t="shared" si="128"/>
        <v/>
      </c>
      <c r="AI950" s="220">
        <f t="shared" si="133"/>
        <v>4</v>
      </c>
      <c r="AJ950" s="222">
        <f t="shared" si="129"/>
        <v>0</v>
      </c>
      <c r="AK950" s="299" t="str">
        <f>IF(ISERROR(LOOKUP(E950,WKNrListe,Übersicht!$R$7:$R$46)),"-",LOOKUP(E950,WKNrListe,Übersicht!$R$7:$R$46))</f>
        <v>-</v>
      </c>
      <c r="AL950" s="299" t="str">
        <f t="shared" si="132"/>
        <v>-</v>
      </c>
      <c r="AM950" s="303"/>
      <c r="AN950" s="174" t="str">
        <f t="shared" si="134"/>
        <v>Leer</v>
      </c>
    </row>
    <row r="951" spans="1:40" s="174" customFormat="1" ht="15" customHeight="1">
      <c r="A951" s="63"/>
      <c r="B951" s="63"/>
      <c r="C951" s="84"/>
      <c r="D951" s="85"/>
      <c r="E951" s="62"/>
      <c r="F951" s="62"/>
      <c r="G951" s="62"/>
      <c r="H951" s="62"/>
      <c r="I951" s="62"/>
      <c r="J951" s="62"/>
      <c r="K951" s="62"/>
      <c r="L951" s="62"/>
      <c r="M951" s="62"/>
      <c r="N951" s="62"/>
      <c r="O951" s="62"/>
      <c r="P951" s="62"/>
      <c r="Q951" s="62"/>
      <c r="R951" s="62"/>
      <c r="S951" s="258"/>
      <c r="T951" s="248" t="str">
        <f t="shared" si="130"/>
        <v/>
      </c>
      <c r="U951" s="249" t="str">
        <f t="shared" si="131"/>
        <v/>
      </c>
      <c r="V951" s="294" t="str">
        <f t="shared" si="127"/>
        <v/>
      </c>
      <c r="W951" s="294" t="str">
        <f>IF(((E951="")+(F951="")),"",IF(VLOOKUP(F951,Mannschaften!$A$1:$B$54,2,FALSE)&lt;&gt;E951,"Reiter Mannschaften füllen",""))</f>
        <v/>
      </c>
      <c r="X951" s="248" t="str">
        <f>IF(ISBLANK(C951),"",IF((U951&gt;(LOOKUP(E951,WKNrListe,Übersicht!$O$7:$O$46)))+(U951&lt;(LOOKUP(E951,WKNrListe,Übersicht!$P$7:$P$46))),"JG falsch",""))</f>
        <v/>
      </c>
      <c r="Y951" s="255" t="str">
        <f>IF((A951="")*(B951=""),"",IF(ISERROR(MATCH(E951,WKNrListe,0)),"WK falsch",LOOKUP(E951,WKNrListe,Übersicht!$B$7:$B$46)))</f>
        <v/>
      </c>
      <c r="Z951" s="269" t="str">
        <f>IF(((AJ951=0)*(AH951&lt;&gt;"")*(AK951="-"))+((AJ951&lt;&gt;0)*(AH951&lt;&gt;"")*(AK951="-")),IF(AG951="X",Übersicht!$C$70,Übersicht!$C$69),"-")</f>
        <v>-</v>
      </c>
      <c r="AA951" s="252" t="str">
        <f>IF((($A951="")*($B951=""))+((MID($Y951,1,4)&lt;&gt;"Wahl")*(Deckblatt!$C$14='WK-Vorlagen'!$C$82))+(Deckblatt!$C$14&lt;&gt;'WK-Vorlagen'!$C$82),"",IF(ISERROR(MATCH(VALUE(MID(G951,1,2)),Schwierigkeitsstufen!$G$7:$G$19,0)),"Gerät falsch",LOOKUP(VALUE(MID(G951,1,2)),Schwierigkeitsstufen!$G$7:$G$19,Schwierigkeitsstufen!$H$7:$H$19)))</f>
        <v/>
      </c>
      <c r="AB951" s="250" t="str">
        <f>IF((($A951="")*($B951=""))+((MID($Y951,1,4)&lt;&gt;"Wahl")*(Deckblatt!$C$14='WK-Vorlagen'!$C$82))+(Deckblatt!$C$14&lt;&gt;'WK-Vorlagen'!$C$82),"",IF(ISERROR(MATCH(VALUE(MID(H951,1,2)),Schwierigkeitsstufen!$G$7:$G$19,0)),"Gerät falsch",LOOKUP(VALUE(MID(H951,1,2)),Schwierigkeitsstufen!$G$7:$G$19,Schwierigkeitsstufen!$H$7:$H$19)))</f>
        <v/>
      </c>
      <c r="AC951" s="250" t="str">
        <f>IF((($A951="")*($B951=""))+((MID($Y951,1,4)&lt;&gt;"Wahl")*(Deckblatt!$C$14='WK-Vorlagen'!$C$82))+(Deckblatt!$C$14&lt;&gt;'WK-Vorlagen'!$C$82),"",IF(ISERROR(MATCH(VALUE(MID(I951,1,2)),Schwierigkeitsstufen!$G$7:$G$19,0)),"Gerät falsch",LOOKUP(VALUE(MID(I951,1,2)),Schwierigkeitsstufen!$G$7:$G$19,Schwierigkeitsstufen!$H$7:$H$19)))</f>
        <v/>
      </c>
      <c r="AD951" s="251" t="str">
        <f>IF((($A951="")*($B951=""))+((MID($Y951,1,4)&lt;&gt;"Wahl")*(Deckblatt!$C$14='WK-Vorlagen'!$C$82))+(Deckblatt!$C$14&lt;&gt;'WK-Vorlagen'!$C$82),"",IF(ISERROR(MATCH(VALUE(MID(J951,1,2)),Schwierigkeitsstufen!$G$7:$G$19,0)),"Gerät falsch",LOOKUP(VALUE(MID(J951,1,2)),Schwierigkeitsstufen!$G$7:$G$19,Schwierigkeitsstufen!$H$7:$H$19)))</f>
        <v/>
      </c>
      <c r="AE951" s="211"/>
      <c r="AG951" s="221" t="str">
        <f t="shared" si="126"/>
        <v/>
      </c>
      <c r="AH951" s="222" t="str">
        <f t="shared" si="128"/>
        <v/>
      </c>
      <c r="AI951" s="220">
        <f t="shared" si="133"/>
        <v>4</v>
      </c>
      <c r="AJ951" s="222">
        <f t="shared" si="129"/>
        <v>0</v>
      </c>
      <c r="AK951" s="299" t="str">
        <f>IF(ISERROR(LOOKUP(E951,WKNrListe,Übersicht!$R$7:$R$46)),"-",LOOKUP(E951,WKNrListe,Übersicht!$R$7:$R$46))</f>
        <v>-</v>
      </c>
      <c r="AL951" s="299" t="str">
        <f t="shared" si="132"/>
        <v>-</v>
      </c>
      <c r="AM951" s="303"/>
      <c r="AN951" s="174" t="str">
        <f t="shared" si="134"/>
        <v>Leer</v>
      </c>
    </row>
    <row r="952" spans="1:40" s="174" customFormat="1" ht="15" customHeight="1">
      <c r="A952" s="63"/>
      <c r="B952" s="63"/>
      <c r="C952" s="84"/>
      <c r="D952" s="85"/>
      <c r="E952" s="62"/>
      <c r="F952" s="62"/>
      <c r="G952" s="62"/>
      <c r="H952" s="62"/>
      <c r="I952" s="62"/>
      <c r="J952" s="62"/>
      <c r="K952" s="62"/>
      <c r="L952" s="62"/>
      <c r="M952" s="62"/>
      <c r="N952" s="62"/>
      <c r="O952" s="62"/>
      <c r="P952" s="62"/>
      <c r="Q952" s="62"/>
      <c r="R952" s="62"/>
      <c r="S952" s="258"/>
      <c r="T952" s="248" t="str">
        <f t="shared" si="130"/>
        <v/>
      </c>
      <c r="U952" s="249" t="str">
        <f t="shared" si="131"/>
        <v/>
      </c>
      <c r="V952" s="294" t="str">
        <f t="shared" si="127"/>
        <v/>
      </c>
      <c r="W952" s="294" t="str">
        <f>IF(((E952="")+(F952="")),"",IF(VLOOKUP(F952,Mannschaften!$A$1:$B$54,2,FALSE)&lt;&gt;E952,"Reiter Mannschaften füllen",""))</f>
        <v/>
      </c>
      <c r="X952" s="248" t="str">
        <f>IF(ISBLANK(C952),"",IF((U952&gt;(LOOKUP(E952,WKNrListe,Übersicht!$O$7:$O$46)))+(U952&lt;(LOOKUP(E952,WKNrListe,Übersicht!$P$7:$P$46))),"JG falsch",""))</f>
        <v/>
      </c>
      <c r="Y952" s="255" t="str">
        <f>IF((A952="")*(B952=""),"",IF(ISERROR(MATCH(E952,WKNrListe,0)),"WK falsch",LOOKUP(E952,WKNrListe,Übersicht!$B$7:$B$46)))</f>
        <v/>
      </c>
      <c r="Z952" s="269" t="str">
        <f>IF(((AJ952=0)*(AH952&lt;&gt;"")*(AK952="-"))+((AJ952&lt;&gt;0)*(AH952&lt;&gt;"")*(AK952="-")),IF(AG952="X",Übersicht!$C$70,Übersicht!$C$69),"-")</f>
        <v>-</v>
      </c>
      <c r="AA952" s="252" t="str">
        <f>IF((($A952="")*($B952=""))+((MID($Y952,1,4)&lt;&gt;"Wahl")*(Deckblatt!$C$14='WK-Vorlagen'!$C$82))+(Deckblatt!$C$14&lt;&gt;'WK-Vorlagen'!$C$82),"",IF(ISERROR(MATCH(VALUE(MID(G952,1,2)),Schwierigkeitsstufen!$G$7:$G$19,0)),"Gerät falsch",LOOKUP(VALUE(MID(G952,1,2)),Schwierigkeitsstufen!$G$7:$G$19,Schwierigkeitsstufen!$H$7:$H$19)))</f>
        <v/>
      </c>
      <c r="AB952" s="250" t="str">
        <f>IF((($A952="")*($B952=""))+((MID($Y952,1,4)&lt;&gt;"Wahl")*(Deckblatt!$C$14='WK-Vorlagen'!$C$82))+(Deckblatt!$C$14&lt;&gt;'WK-Vorlagen'!$C$82),"",IF(ISERROR(MATCH(VALUE(MID(H952,1,2)),Schwierigkeitsstufen!$G$7:$G$19,0)),"Gerät falsch",LOOKUP(VALUE(MID(H952,1,2)),Schwierigkeitsstufen!$G$7:$G$19,Schwierigkeitsstufen!$H$7:$H$19)))</f>
        <v/>
      </c>
      <c r="AC952" s="250" t="str">
        <f>IF((($A952="")*($B952=""))+((MID($Y952,1,4)&lt;&gt;"Wahl")*(Deckblatt!$C$14='WK-Vorlagen'!$C$82))+(Deckblatt!$C$14&lt;&gt;'WK-Vorlagen'!$C$82),"",IF(ISERROR(MATCH(VALUE(MID(I952,1,2)),Schwierigkeitsstufen!$G$7:$G$19,0)),"Gerät falsch",LOOKUP(VALUE(MID(I952,1,2)),Schwierigkeitsstufen!$G$7:$G$19,Schwierigkeitsstufen!$H$7:$H$19)))</f>
        <v/>
      </c>
      <c r="AD952" s="251" t="str">
        <f>IF((($A952="")*($B952=""))+((MID($Y952,1,4)&lt;&gt;"Wahl")*(Deckblatt!$C$14='WK-Vorlagen'!$C$82))+(Deckblatt!$C$14&lt;&gt;'WK-Vorlagen'!$C$82),"",IF(ISERROR(MATCH(VALUE(MID(J952,1,2)),Schwierigkeitsstufen!$G$7:$G$19,0)),"Gerät falsch",LOOKUP(VALUE(MID(J952,1,2)),Schwierigkeitsstufen!$G$7:$G$19,Schwierigkeitsstufen!$H$7:$H$19)))</f>
        <v/>
      </c>
      <c r="AE952" s="211"/>
      <c r="AG952" s="221" t="str">
        <f t="shared" si="126"/>
        <v/>
      </c>
      <c r="AH952" s="222" t="str">
        <f t="shared" si="128"/>
        <v/>
      </c>
      <c r="AI952" s="220">
        <f t="shared" si="133"/>
        <v>4</v>
      </c>
      <c r="AJ952" s="222">
        <f t="shared" si="129"/>
        <v>0</v>
      </c>
      <c r="AK952" s="299" t="str">
        <f>IF(ISERROR(LOOKUP(E952,WKNrListe,Übersicht!$R$7:$R$46)),"-",LOOKUP(E952,WKNrListe,Übersicht!$R$7:$R$46))</f>
        <v>-</v>
      </c>
      <c r="AL952" s="299" t="str">
        <f t="shared" si="132"/>
        <v>-</v>
      </c>
      <c r="AM952" s="303"/>
      <c r="AN952" s="174" t="str">
        <f t="shared" si="134"/>
        <v>Leer</v>
      </c>
    </row>
    <row r="953" spans="1:40" s="174" customFormat="1" ht="15" customHeight="1">
      <c r="A953" s="63"/>
      <c r="B953" s="63"/>
      <c r="C953" s="84"/>
      <c r="D953" s="85"/>
      <c r="E953" s="62"/>
      <c r="F953" s="62"/>
      <c r="G953" s="62"/>
      <c r="H953" s="62"/>
      <c r="I953" s="62"/>
      <c r="J953" s="62"/>
      <c r="K953" s="62"/>
      <c r="L953" s="62"/>
      <c r="M953" s="62"/>
      <c r="N953" s="62"/>
      <c r="O953" s="62"/>
      <c r="P953" s="62"/>
      <c r="Q953" s="62"/>
      <c r="R953" s="62"/>
      <c r="S953" s="258"/>
      <c r="T953" s="248" t="str">
        <f t="shared" si="130"/>
        <v/>
      </c>
      <c r="U953" s="249" t="str">
        <f t="shared" si="131"/>
        <v/>
      </c>
      <c r="V953" s="294" t="str">
        <f t="shared" si="127"/>
        <v/>
      </c>
      <c r="W953" s="294" t="str">
        <f>IF(((E953="")+(F953="")),"",IF(VLOOKUP(F953,Mannschaften!$A$1:$B$54,2,FALSE)&lt;&gt;E953,"Reiter Mannschaften füllen",""))</f>
        <v/>
      </c>
      <c r="X953" s="248" t="str">
        <f>IF(ISBLANK(C953),"",IF((U953&gt;(LOOKUP(E953,WKNrListe,Übersicht!$O$7:$O$46)))+(U953&lt;(LOOKUP(E953,WKNrListe,Übersicht!$P$7:$P$46))),"JG falsch",""))</f>
        <v/>
      </c>
      <c r="Y953" s="255" t="str">
        <f>IF((A953="")*(B953=""),"",IF(ISERROR(MATCH(E953,WKNrListe,0)),"WK falsch",LOOKUP(E953,WKNrListe,Übersicht!$B$7:$B$46)))</f>
        <v/>
      </c>
      <c r="Z953" s="269" t="str">
        <f>IF(((AJ953=0)*(AH953&lt;&gt;"")*(AK953="-"))+((AJ953&lt;&gt;0)*(AH953&lt;&gt;"")*(AK953="-")),IF(AG953="X",Übersicht!$C$70,Übersicht!$C$69),"-")</f>
        <v>-</v>
      </c>
      <c r="AA953" s="252" t="str">
        <f>IF((($A953="")*($B953=""))+((MID($Y953,1,4)&lt;&gt;"Wahl")*(Deckblatt!$C$14='WK-Vorlagen'!$C$82))+(Deckblatt!$C$14&lt;&gt;'WK-Vorlagen'!$C$82),"",IF(ISERROR(MATCH(VALUE(MID(G953,1,2)),Schwierigkeitsstufen!$G$7:$G$19,0)),"Gerät falsch",LOOKUP(VALUE(MID(G953,1,2)),Schwierigkeitsstufen!$G$7:$G$19,Schwierigkeitsstufen!$H$7:$H$19)))</f>
        <v/>
      </c>
      <c r="AB953" s="250" t="str">
        <f>IF((($A953="")*($B953=""))+((MID($Y953,1,4)&lt;&gt;"Wahl")*(Deckblatt!$C$14='WK-Vorlagen'!$C$82))+(Deckblatt!$C$14&lt;&gt;'WK-Vorlagen'!$C$82),"",IF(ISERROR(MATCH(VALUE(MID(H953,1,2)),Schwierigkeitsstufen!$G$7:$G$19,0)),"Gerät falsch",LOOKUP(VALUE(MID(H953,1,2)),Schwierigkeitsstufen!$G$7:$G$19,Schwierigkeitsstufen!$H$7:$H$19)))</f>
        <v/>
      </c>
      <c r="AC953" s="250" t="str">
        <f>IF((($A953="")*($B953=""))+((MID($Y953,1,4)&lt;&gt;"Wahl")*(Deckblatt!$C$14='WK-Vorlagen'!$C$82))+(Deckblatt!$C$14&lt;&gt;'WK-Vorlagen'!$C$82),"",IF(ISERROR(MATCH(VALUE(MID(I953,1,2)),Schwierigkeitsstufen!$G$7:$G$19,0)),"Gerät falsch",LOOKUP(VALUE(MID(I953,1,2)),Schwierigkeitsstufen!$G$7:$G$19,Schwierigkeitsstufen!$H$7:$H$19)))</f>
        <v/>
      </c>
      <c r="AD953" s="251" t="str">
        <f>IF((($A953="")*($B953=""))+((MID($Y953,1,4)&lt;&gt;"Wahl")*(Deckblatt!$C$14='WK-Vorlagen'!$C$82))+(Deckblatt!$C$14&lt;&gt;'WK-Vorlagen'!$C$82),"",IF(ISERROR(MATCH(VALUE(MID(J953,1,2)),Schwierigkeitsstufen!$G$7:$G$19,0)),"Gerät falsch",LOOKUP(VALUE(MID(J953,1,2)),Schwierigkeitsstufen!$G$7:$G$19,Schwierigkeitsstufen!$H$7:$H$19)))</f>
        <v/>
      </c>
      <c r="AE953" s="211"/>
      <c r="AG953" s="221" t="str">
        <f t="shared" si="126"/>
        <v/>
      </c>
      <c r="AH953" s="222" t="str">
        <f t="shared" si="128"/>
        <v/>
      </c>
      <c r="AI953" s="220">
        <f t="shared" si="133"/>
        <v>4</v>
      </c>
      <c r="AJ953" s="222">
        <f t="shared" si="129"/>
        <v>0</v>
      </c>
      <c r="AK953" s="299" t="str">
        <f>IF(ISERROR(LOOKUP(E953,WKNrListe,Übersicht!$R$7:$R$46)),"-",LOOKUP(E953,WKNrListe,Übersicht!$R$7:$R$46))</f>
        <v>-</v>
      </c>
      <c r="AL953" s="299" t="str">
        <f t="shared" si="132"/>
        <v>-</v>
      </c>
      <c r="AM953" s="303"/>
      <c r="AN953" s="174" t="str">
        <f t="shared" si="134"/>
        <v>Leer</v>
      </c>
    </row>
    <row r="954" spans="1:40" s="174" customFormat="1" ht="15" customHeight="1">
      <c r="A954" s="63"/>
      <c r="B954" s="63"/>
      <c r="C954" s="84"/>
      <c r="D954" s="85"/>
      <c r="E954" s="62"/>
      <c r="F954" s="62"/>
      <c r="G954" s="62"/>
      <c r="H954" s="62"/>
      <c r="I954" s="62"/>
      <c r="J954" s="62"/>
      <c r="K954" s="62"/>
      <c r="L954" s="62"/>
      <c r="M954" s="62"/>
      <c r="N954" s="62"/>
      <c r="O954" s="62"/>
      <c r="P954" s="62"/>
      <c r="Q954" s="62"/>
      <c r="R954" s="62"/>
      <c r="S954" s="258"/>
      <c r="T954" s="248" t="str">
        <f t="shared" si="130"/>
        <v/>
      </c>
      <c r="U954" s="249" t="str">
        <f t="shared" si="131"/>
        <v/>
      </c>
      <c r="V954" s="294" t="str">
        <f t="shared" si="127"/>
        <v/>
      </c>
      <c r="W954" s="294" t="str">
        <f>IF(((E954="")+(F954="")),"",IF(VLOOKUP(F954,Mannschaften!$A$1:$B$54,2,FALSE)&lt;&gt;E954,"Reiter Mannschaften füllen",""))</f>
        <v/>
      </c>
      <c r="X954" s="248" t="str">
        <f>IF(ISBLANK(C954),"",IF((U954&gt;(LOOKUP(E954,WKNrListe,Übersicht!$O$7:$O$46)))+(U954&lt;(LOOKUP(E954,WKNrListe,Übersicht!$P$7:$P$46))),"JG falsch",""))</f>
        <v/>
      </c>
      <c r="Y954" s="255" t="str">
        <f>IF((A954="")*(B954=""),"",IF(ISERROR(MATCH(E954,WKNrListe,0)),"WK falsch",LOOKUP(E954,WKNrListe,Übersicht!$B$7:$B$46)))</f>
        <v/>
      </c>
      <c r="Z954" s="269" t="str">
        <f>IF(((AJ954=0)*(AH954&lt;&gt;"")*(AK954="-"))+((AJ954&lt;&gt;0)*(AH954&lt;&gt;"")*(AK954="-")),IF(AG954="X",Übersicht!$C$70,Übersicht!$C$69),"-")</f>
        <v>-</v>
      </c>
      <c r="AA954" s="252" t="str">
        <f>IF((($A954="")*($B954=""))+((MID($Y954,1,4)&lt;&gt;"Wahl")*(Deckblatt!$C$14='WK-Vorlagen'!$C$82))+(Deckblatt!$C$14&lt;&gt;'WK-Vorlagen'!$C$82),"",IF(ISERROR(MATCH(VALUE(MID(G954,1,2)),Schwierigkeitsstufen!$G$7:$G$19,0)),"Gerät falsch",LOOKUP(VALUE(MID(G954,1,2)),Schwierigkeitsstufen!$G$7:$G$19,Schwierigkeitsstufen!$H$7:$H$19)))</f>
        <v/>
      </c>
      <c r="AB954" s="250" t="str">
        <f>IF((($A954="")*($B954=""))+((MID($Y954,1,4)&lt;&gt;"Wahl")*(Deckblatt!$C$14='WK-Vorlagen'!$C$82))+(Deckblatt!$C$14&lt;&gt;'WK-Vorlagen'!$C$82),"",IF(ISERROR(MATCH(VALUE(MID(H954,1,2)),Schwierigkeitsstufen!$G$7:$G$19,0)),"Gerät falsch",LOOKUP(VALUE(MID(H954,1,2)),Schwierigkeitsstufen!$G$7:$G$19,Schwierigkeitsstufen!$H$7:$H$19)))</f>
        <v/>
      </c>
      <c r="AC954" s="250" t="str">
        <f>IF((($A954="")*($B954=""))+((MID($Y954,1,4)&lt;&gt;"Wahl")*(Deckblatt!$C$14='WK-Vorlagen'!$C$82))+(Deckblatt!$C$14&lt;&gt;'WK-Vorlagen'!$C$82),"",IF(ISERROR(MATCH(VALUE(MID(I954,1,2)),Schwierigkeitsstufen!$G$7:$G$19,0)),"Gerät falsch",LOOKUP(VALUE(MID(I954,1,2)),Schwierigkeitsstufen!$G$7:$G$19,Schwierigkeitsstufen!$H$7:$H$19)))</f>
        <v/>
      </c>
      <c r="AD954" s="251" t="str">
        <f>IF((($A954="")*($B954=""))+((MID($Y954,1,4)&lt;&gt;"Wahl")*(Deckblatt!$C$14='WK-Vorlagen'!$C$82))+(Deckblatt!$C$14&lt;&gt;'WK-Vorlagen'!$C$82),"",IF(ISERROR(MATCH(VALUE(MID(J954,1,2)),Schwierigkeitsstufen!$G$7:$G$19,0)),"Gerät falsch",LOOKUP(VALUE(MID(J954,1,2)),Schwierigkeitsstufen!$G$7:$G$19,Schwierigkeitsstufen!$H$7:$H$19)))</f>
        <v/>
      </c>
      <c r="AE954" s="211"/>
      <c r="AG954" s="221" t="str">
        <f t="shared" si="126"/>
        <v/>
      </c>
      <c r="AH954" s="222" t="str">
        <f t="shared" si="128"/>
        <v/>
      </c>
      <c r="AI954" s="220">
        <f t="shared" si="133"/>
        <v>4</v>
      </c>
      <c r="AJ954" s="222">
        <f t="shared" si="129"/>
        <v>0</v>
      </c>
      <c r="AK954" s="299" t="str">
        <f>IF(ISERROR(LOOKUP(E954,WKNrListe,Übersicht!$R$7:$R$46)),"-",LOOKUP(E954,WKNrListe,Übersicht!$R$7:$R$46))</f>
        <v>-</v>
      </c>
      <c r="AL954" s="299" t="str">
        <f t="shared" si="132"/>
        <v>-</v>
      </c>
      <c r="AM954" s="303"/>
      <c r="AN954" s="174" t="str">
        <f t="shared" si="134"/>
        <v>Leer</v>
      </c>
    </row>
    <row r="955" spans="1:40" s="174" customFormat="1" ht="15" customHeight="1">
      <c r="A955" s="63"/>
      <c r="B955" s="63"/>
      <c r="C955" s="84"/>
      <c r="D955" s="85"/>
      <c r="E955" s="62"/>
      <c r="F955" s="62"/>
      <c r="G955" s="62"/>
      <c r="H955" s="62"/>
      <c r="I955" s="62"/>
      <c r="J955" s="62"/>
      <c r="K955" s="62"/>
      <c r="L955" s="62"/>
      <c r="M955" s="62"/>
      <c r="N955" s="62"/>
      <c r="O955" s="62"/>
      <c r="P955" s="62"/>
      <c r="Q955" s="62"/>
      <c r="R955" s="62"/>
      <c r="S955" s="258"/>
      <c r="T955" s="248" t="str">
        <f t="shared" si="130"/>
        <v/>
      </c>
      <c r="U955" s="249" t="str">
        <f t="shared" si="131"/>
        <v/>
      </c>
      <c r="V955" s="294" t="str">
        <f t="shared" si="127"/>
        <v/>
      </c>
      <c r="W955" s="294" t="str">
        <f>IF(((E955="")+(F955="")),"",IF(VLOOKUP(F955,Mannschaften!$A$1:$B$54,2,FALSE)&lt;&gt;E955,"Reiter Mannschaften füllen",""))</f>
        <v/>
      </c>
      <c r="X955" s="248" t="str">
        <f>IF(ISBLANK(C955),"",IF((U955&gt;(LOOKUP(E955,WKNrListe,Übersicht!$O$7:$O$46)))+(U955&lt;(LOOKUP(E955,WKNrListe,Übersicht!$P$7:$P$46))),"JG falsch",""))</f>
        <v/>
      </c>
      <c r="Y955" s="255" t="str">
        <f>IF((A955="")*(B955=""),"",IF(ISERROR(MATCH(E955,WKNrListe,0)),"WK falsch",LOOKUP(E955,WKNrListe,Übersicht!$B$7:$B$46)))</f>
        <v/>
      </c>
      <c r="Z955" s="269" t="str">
        <f>IF(((AJ955=0)*(AH955&lt;&gt;"")*(AK955="-"))+((AJ955&lt;&gt;0)*(AH955&lt;&gt;"")*(AK955="-")),IF(AG955="X",Übersicht!$C$70,Übersicht!$C$69),"-")</f>
        <v>-</v>
      </c>
      <c r="AA955" s="252" t="str">
        <f>IF((($A955="")*($B955=""))+((MID($Y955,1,4)&lt;&gt;"Wahl")*(Deckblatt!$C$14='WK-Vorlagen'!$C$82))+(Deckblatt!$C$14&lt;&gt;'WK-Vorlagen'!$C$82),"",IF(ISERROR(MATCH(VALUE(MID(G955,1,2)),Schwierigkeitsstufen!$G$7:$G$19,0)),"Gerät falsch",LOOKUP(VALUE(MID(G955,1,2)),Schwierigkeitsstufen!$G$7:$G$19,Schwierigkeitsstufen!$H$7:$H$19)))</f>
        <v/>
      </c>
      <c r="AB955" s="250" t="str">
        <f>IF((($A955="")*($B955=""))+((MID($Y955,1,4)&lt;&gt;"Wahl")*(Deckblatt!$C$14='WK-Vorlagen'!$C$82))+(Deckblatt!$C$14&lt;&gt;'WK-Vorlagen'!$C$82),"",IF(ISERROR(MATCH(VALUE(MID(H955,1,2)),Schwierigkeitsstufen!$G$7:$G$19,0)),"Gerät falsch",LOOKUP(VALUE(MID(H955,1,2)),Schwierigkeitsstufen!$G$7:$G$19,Schwierigkeitsstufen!$H$7:$H$19)))</f>
        <v/>
      </c>
      <c r="AC955" s="250" t="str">
        <f>IF((($A955="")*($B955=""))+((MID($Y955,1,4)&lt;&gt;"Wahl")*(Deckblatt!$C$14='WK-Vorlagen'!$C$82))+(Deckblatt!$C$14&lt;&gt;'WK-Vorlagen'!$C$82),"",IF(ISERROR(MATCH(VALUE(MID(I955,1,2)),Schwierigkeitsstufen!$G$7:$G$19,0)),"Gerät falsch",LOOKUP(VALUE(MID(I955,1,2)),Schwierigkeitsstufen!$G$7:$G$19,Schwierigkeitsstufen!$H$7:$H$19)))</f>
        <v/>
      </c>
      <c r="AD955" s="251" t="str">
        <f>IF((($A955="")*($B955=""))+((MID($Y955,1,4)&lt;&gt;"Wahl")*(Deckblatt!$C$14='WK-Vorlagen'!$C$82))+(Deckblatt!$C$14&lt;&gt;'WK-Vorlagen'!$C$82),"",IF(ISERROR(MATCH(VALUE(MID(J955,1,2)),Schwierigkeitsstufen!$G$7:$G$19,0)),"Gerät falsch",LOOKUP(VALUE(MID(J955,1,2)),Schwierigkeitsstufen!$G$7:$G$19,Schwierigkeitsstufen!$H$7:$H$19)))</f>
        <v/>
      </c>
      <c r="AE955" s="211"/>
      <c r="AG955" s="221" t="str">
        <f t="shared" si="126"/>
        <v/>
      </c>
      <c r="AH955" s="222" t="str">
        <f t="shared" si="128"/>
        <v/>
      </c>
      <c r="AI955" s="220">
        <f t="shared" si="133"/>
        <v>4</v>
      </c>
      <c r="AJ955" s="222">
        <f t="shared" si="129"/>
        <v>0</v>
      </c>
      <c r="AK955" s="299" t="str">
        <f>IF(ISERROR(LOOKUP(E955,WKNrListe,Übersicht!$R$7:$R$46)),"-",LOOKUP(E955,WKNrListe,Übersicht!$R$7:$R$46))</f>
        <v>-</v>
      </c>
      <c r="AL955" s="299" t="str">
        <f t="shared" si="132"/>
        <v>-</v>
      </c>
      <c r="AM955" s="303"/>
      <c r="AN955" s="174" t="str">
        <f t="shared" si="134"/>
        <v>Leer</v>
      </c>
    </row>
    <row r="956" spans="1:40" s="174" customFormat="1" ht="15" customHeight="1">
      <c r="A956" s="63"/>
      <c r="B956" s="63"/>
      <c r="C956" s="84"/>
      <c r="D956" s="85"/>
      <c r="E956" s="62"/>
      <c r="F956" s="62"/>
      <c r="G956" s="62"/>
      <c r="H956" s="62"/>
      <c r="I956" s="62"/>
      <c r="J956" s="62"/>
      <c r="K956" s="62"/>
      <c r="L956" s="62"/>
      <c r="M956" s="62"/>
      <c r="N956" s="62"/>
      <c r="O956" s="62"/>
      <c r="P956" s="62"/>
      <c r="Q956" s="62"/>
      <c r="R956" s="62"/>
      <c r="S956" s="258"/>
      <c r="T956" s="248" t="str">
        <f t="shared" si="130"/>
        <v/>
      </c>
      <c r="U956" s="249" t="str">
        <f t="shared" si="131"/>
        <v/>
      </c>
      <c r="V956" s="294" t="str">
        <f t="shared" si="127"/>
        <v/>
      </c>
      <c r="W956" s="294" t="str">
        <f>IF(((E956="")+(F956="")),"",IF(VLOOKUP(F956,Mannschaften!$A$1:$B$54,2,FALSE)&lt;&gt;E956,"Reiter Mannschaften füllen",""))</f>
        <v/>
      </c>
      <c r="X956" s="248" t="str">
        <f>IF(ISBLANK(C956),"",IF((U956&gt;(LOOKUP(E956,WKNrListe,Übersicht!$O$7:$O$46)))+(U956&lt;(LOOKUP(E956,WKNrListe,Übersicht!$P$7:$P$46))),"JG falsch",""))</f>
        <v/>
      </c>
      <c r="Y956" s="255" t="str">
        <f>IF((A956="")*(B956=""),"",IF(ISERROR(MATCH(E956,WKNrListe,0)),"WK falsch",LOOKUP(E956,WKNrListe,Übersicht!$B$7:$B$46)))</f>
        <v/>
      </c>
      <c r="Z956" s="269" t="str">
        <f>IF(((AJ956=0)*(AH956&lt;&gt;"")*(AK956="-"))+((AJ956&lt;&gt;0)*(AH956&lt;&gt;"")*(AK956="-")),IF(AG956="X",Übersicht!$C$70,Übersicht!$C$69),"-")</f>
        <v>-</v>
      </c>
      <c r="AA956" s="252" t="str">
        <f>IF((($A956="")*($B956=""))+((MID($Y956,1,4)&lt;&gt;"Wahl")*(Deckblatt!$C$14='WK-Vorlagen'!$C$82))+(Deckblatt!$C$14&lt;&gt;'WK-Vorlagen'!$C$82),"",IF(ISERROR(MATCH(VALUE(MID(G956,1,2)),Schwierigkeitsstufen!$G$7:$G$19,0)),"Gerät falsch",LOOKUP(VALUE(MID(G956,1,2)),Schwierigkeitsstufen!$G$7:$G$19,Schwierigkeitsstufen!$H$7:$H$19)))</f>
        <v/>
      </c>
      <c r="AB956" s="250" t="str">
        <f>IF((($A956="")*($B956=""))+((MID($Y956,1,4)&lt;&gt;"Wahl")*(Deckblatt!$C$14='WK-Vorlagen'!$C$82))+(Deckblatt!$C$14&lt;&gt;'WK-Vorlagen'!$C$82),"",IF(ISERROR(MATCH(VALUE(MID(H956,1,2)),Schwierigkeitsstufen!$G$7:$G$19,0)),"Gerät falsch",LOOKUP(VALUE(MID(H956,1,2)),Schwierigkeitsstufen!$G$7:$G$19,Schwierigkeitsstufen!$H$7:$H$19)))</f>
        <v/>
      </c>
      <c r="AC956" s="250" t="str">
        <f>IF((($A956="")*($B956=""))+((MID($Y956,1,4)&lt;&gt;"Wahl")*(Deckblatt!$C$14='WK-Vorlagen'!$C$82))+(Deckblatt!$C$14&lt;&gt;'WK-Vorlagen'!$C$82),"",IF(ISERROR(MATCH(VALUE(MID(I956,1,2)),Schwierigkeitsstufen!$G$7:$G$19,0)),"Gerät falsch",LOOKUP(VALUE(MID(I956,1,2)),Schwierigkeitsstufen!$G$7:$G$19,Schwierigkeitsstufen!$H$7:$H$19)))</f>
        <v/>
      </c>
      <c r="AD956" s="251" t="str">
        <f>IF((($A956="")*($B956=""))+((MID($Y956,1,4)&lt;&gt;"Wahl")*(Deckblatt!$C$14='WK-Vorlagen'!$C$82))+(Deckblatt!$C$14&lt;&gt;'WK-Vorlagen'!$C$82),"",IF(ISERROR(MATCH(VALUE(MID(J956,1,2)),Schwierigkeitsstufen!$G$7:$G$19,0)),"Gerät falsch",LOOKUP(VALUE(MID(J956,1,2)),Schwierigkeitsstufen!$G$7:$G$19,Schwierigkeitsstufen!$H$7:$H$19)))</f>
        <v/>
      </c>
      <c r="AE956" s="211"/>
      <c r="AG956" s="221" t="str">
        <f t="shared" si="126"/>
        <v/>
      </c>
      <c r="AH956" s="222" t="str">
        <f t="shared" si="128"/>
        <v/>
      </c>
      <c r="AI956" s="220">
        <f t="shared" si="133"/>
        <v>4</v>
      </c>
      <c r="AJ956" s="222">
        <f t="shared" si="129"/>
        <v>0</v>
      </c>
      <c r="AK956" s="299" t="str">
        <f>IF(ISERROR(LOOKUP(E956,WKNrListe,Übersicht!$R$7:$R$46)),"-",LOOKUP(E956,WKNrListe,Übersicht!$R$7:$R$46))</f>
        <v>-</v>
      </c>
      <c r="AL956" s="299" t="str">
        <f t="shared" si="132"/>
        <v>-</v>
      </c>
      <c r="AM956" s="303"/>
      <c r="AN956" s="174" t="str">
        <f t="shared" si="134"/>
        <v>Leer</v>
      </c>
    </row>
    <row r="957" spans="1:40" s="174" customFormat="1" ht="15" customHeight="1">
      <c r="A957" s="63"/>
      <c r="B957" s="63"/>
      <c r="C957" s="84"/>
      <c r="D957" s="85"/>
      <c r="E957" s="62"/>
      <c r="F957" s="62"/>
      <c r="G957" s="62"/>
      <c r="H957" s="62"/>
      <c r="I957" s="62"/>
      <c r="J957" s="62"/>
      <c r="K957" s="62"/>
      <c r="L957" s="62"/>
      <c r="M957" s="62"/>
      <c r="N957" s="62"/>
      <c r="O957" s="62"/>
      <c r="P957" s="62"/>
      <c r="Q957" s="62"/>
      <c r="R957" s="62"/>
      <c r="S957" s="258"/>
      <c r="T957" s="248" t="str">
        <f t="shared" si="130"/>
        <v/>
      </c>
      <c r="U957" s="249" t="str">
        <f t="shared" si="131"/>
        <v/>
      </c>
      <c r="V957" s="294" t="str">
        <f t="shared" si="127"/>
        <v/>
      </c>
      <c r="W957" s="294" t="str">
        <f>IF(((E957="")+(F957="")),"",IF(VLOOKUP(F957,Mannschaften!$A$1:$B$54,2,FALSE)&lt;&gt;E957,"Reiter Mannschaften füllen",""))</f>
        <v/>
      </c>
      <c r="X957" s="248" t="str">
        <f>IF(ISBLANK(C957),"",IF((U957&gt;(LOOKUP(E957,WKNrListe,Übersicht!$O$7:$O$46)))+(U957&lt;(LOOKUP(E957,WKNrListe,Übersicht!$P$7:$P$46))),"JG falsch",""))</f>
        <v/>
      </c>
      <c r="Y957" s="255" t="str">
        <f>IF((A957="")*(B957=""),"",IF(ISERROR(MATCH(E957,WKNrListe,0)),"WK falsch",LOOKUP(E957,WKNrListe,Übersicht!$B$7:$B$46)))</f>
        <v/>
      </c>
      <c r="Z957" s="269" t="str">
        <f>IF(((AJ957=0)*(AH957&lt;&gt;"")*(AK957="-"))+((AJ957&lt;&gt;0)*(AH957&lt;&gt;"")*(AK957="-")),IF(AG957="X",Übersicht!$C$70,Übersicht!$C$69),"-")</f>
        <v>-</v>
      </c>
      <c r="AA957" s="252" t="str">
        <f>IF((($A957="")*($B957=""))+((MID($Y957,1,4)&lt;&gt;"Wahl")*(Deckblatt!$C$14='WK-Vorlagen'!$C$82))+(Deckblatt!$C$14&lt;&gt;'WK-Vorlagen'!$C$82),"",IF(ISERROR(MATCH(VALUE(MID(G957,1,2)),Schwierigkeitsstufen!$G$7:$G$19,0)),"Gerät falsch",LOOKUP(VALUE(MID(G957,1,2)),Schwierigkeitsstufen!$G$7:$G$19,Schwierigkeitsstufen!$H$7:$H$19)))</f>
        <v/>
      </c>
      <c r="AB957" s="250" t="str">
        <f>IF((($A957="")*($B957=""))+((MID($Y957,1,4)&lt;&gt;"Wahl")*(Deckblatt!$C$14='WK-Vorlagen'!$C$82))+(Deckblatt!$C$14&lt;&gt;'WK-Vorlagen'!$C$82),"",IF(ISERROR(MATCH(VALUE(MID(H957,1,2)),Schwierigkeitsstufen!$G$7:$G$19,0)),"Gerät falsch",LOOKUP(VALUE(MID(H957,1,2)),Schwierigkeitsstufen!$G$7:$G$19,Schwierigkeitsstufen!$H$7:$H$19)))</f>
        <v/>
      </c>
      <c r="AC957" s="250" t="str">
        <f>IF((($A957="")*($B957=""))+((MID($Y957,1,4)&lt;&gt;"Wahl")*(Deckblatt!$C$14='WK-Vorlagen'!$C$82))+(Deckblatt!$C$14&lt;&gt;'WK-Vorlagen'!$C$82),"",IF(ISERROR(MATCH(VALUE(MID(I957,1,2)),Schwierigkeitsstufen!$G$7:$G$19,0)),"Gerät falsch",LOOKUP(VALUE(MID(I957,1,2)),Schwierigkeitsstufen!$G$7:$G$19,Schwierigkeitsstufen!$H$7:$H$19)))</f>
        <v/>
      </c>
      <c r="AD957" s="251" t="str">
        <f>IF((($A957="")*($B957=""))+((MID($Y957,1,4)&lt;&gt;"Wahl")*(Deckblatt!$C$14='WK-Vorlagen'!$C$82))+(Deckblatt!$C$14&lt;&gt;'WK-Vorlagen'!$C$82),"",IF(ISERROR(MATCH(VALUE(MID(J957,1,2)),Schwierigkeitsstufen!$G$7:$G$19,0)),"Gerät falsch",LOOKUP(VALUE(MID(J957,1,2)),Schwierigkeitsstufen!$G$7:$G$19,Schwierigkeitsstufen!$H$7:$H$19)))</f>
        <v/>
      </c>
      <c r="AE957" s="211"/>
      <c r="AG957" s="221" t="str">
        <f t="shared" si="126"/>
        <v/>
      </c>
      <c r="AH957" s="222" t="str">
        <f t="shared" si="128"/>
        <v/>
      </c>
      <c r="AI957" s="220">
        <f t="shared" si="133"/>
        <v>4</v>
      </c>
      <c r="AJ957" s="222">
        <f t="shared" si="129"/>
        <v>0</v>
      </c>
      <c r="AK957" s="299" t="str">
        <f>IF(ISERROR(LOOKUP(E957,WKNrListe,Übersicht!$R$7:$R$46)),"-",LOOKUP(E957,WKNrListe,Übersicht!$R$7:$R$46))</f>
        <v>-</v>
      </c>
      <c r="AL957" s="299" t="str">
        <f t="shared" si="132"/>
        <v>-</v>
      </c>
      <c r="AM957" s="303"/>
      <c r="AN957" s="174" t="str">
        <f t="shared" si="134"/>
        <v>Leer</v>
      </c>
    </row>
    <row r="958" spans="1:40" s="174" customFormat="1" ht="15" customHeight="1">
      <c r="A958" s="63"/>
      <c r="B958" s="63"/>
      <c r="C958" s="84"/>
      <c r="D958" s="85"/>
      <c r="E958" s="62"/>
      <c r="F958" s="62"/>
      <c r="G958" s="62"/>
      <c r="H958" s="62"/>
      <c r="I958" s="62"/>
      <c r="J958" s="62"/>
      <c r="K958" s="62"/>
      <c r="L958" s="62"/>
      <c r="M958" s="62"/>
      <c r="N958" s="62"/>
      <c r="O958" s="62"/>
      <c r="P958" s="62"/>
      <c r="Q958" s="62"/>
      <c r="R958" s="62"/>
      <c r="S958" s="258"/>
      <c r="T958" s="248" t="str">
        <f t="shared" si="130"/>
        <v/>
      </c>
      <c r="U958" s="249" t="str">
        <f t="shared" si="131"/>
        <v/>
      </c>
      <c r="V958" s="294" t="str">
        <f t="shared" si="127"/>
        <v/>
      </c>
      <c r="W958" s="294" t="str">
        <f>IF(((E958="")+(F958="")),"",IF(VLOOKUP(F958,Mannschaften!$A$1:$B$54,2,FALSE)&lt;&gt;E958,"Reiter Mannschaften füllen",""))</f>
        <v/>
      </c>
      <c r="X958" s="248" t="str">
        <f>IF(ISBLANK(C958),"",IF((U958&gt;(LOOKUP(E958,WKNrListe,Übersicht!$O$7:$O$46)))+(U958&lt;(LOOKUP(E958,WKNrListe,Übersicht!$P$7:$P$46))),"JG falsch",""))</f>
        <v/>
      </c>
      <c r="Y958" s="255" t="str">
        <f>IF((A958="")*(B958=""),"",IF(ISERROR(MATCH(E958,WKNrListe,0)),"WK falsch",LOOKUP(E958,WKNrListe,Übersicht!$B$7:$B$46)))</f>
        <v/>
      </c>
      <c r="Z958" s="269" t="str">
        <f>IF(((AJ958=0)*(AH958&lt;&gt;"")*(AK958="-"))+((AJ958&lt;&gt;0)*(AH958&lt;&gt;"")*(AK958="-")),IF(AG958="X",Übersicht!$C$70,Übersicht!$C$69),"-")</f>
        <v>-</v>
      </c>
      <c r="AA958" s="252" t="str">
        <f>IF((($A958="")*($B958=""))+((MID($Y958,1,4)&lt;&gt;"Wahl")*(Deckblatt!$C$14='WK-Vorlagen'!$C$82))+(Deckblatt!$C$14&lt;&gt;'WK-Vorlagen'!$C$82),"",IF(ISERROR(MATCH(VALUE(MID(G958,1,2)),Schwierigkeitsstufen!$G$7:$G$19,0)),"Gerät falsch",LOOKUP(VALUE(MID(G958,1,2)),Schwierigkeitsstufen!$G$7:$G$19,Schwierigkeitsstufen!$H$7:$H$19)))</f>
        <v/>
      </c>
      <c r="AB958" s="250" t="str">
        <f>IF((($A958="")*($B958=""))+((MID($Y958,1,4)&lt;&gt;"Wahl")*(Deckblatt!$C$14='WK-Vorlagen'!$C$82))+(Deckblatt!$C$14&lt;&gt;'WK-Vorlagen'!$C$82),"",IF(ISERROR(MATCH(VALUE(MID(H958,1,2)),Schwierigkeitsstufen!$G$7:$G$19,0)),"Gerät falsch",LOOKUP(VALUE(MID(H958,1,2)),Schwierigkeitsstufen!$G$7:$G$19,Schwierigkeitsstufen!$H$7:$H$19)))</f>
        <v/>
      </c>
      <c r="AC958" s="250" t="str">
        <f>IF((($A958="")*($B958=""))+((MID($Y958,1,4)&lt;&gt;"Wahl")*(Deckblatt!$C$14='WK-Vorlagen'!$C$82))+(Deckblatt!$C$14&lt;&gt;'WK-Vorlagen'!$C$82),"",IF(ISERROR(MATCH(VALUE(MID(I958,1,2)),Schwierigkeitsstufen!$G$7:$G$19,0)),"Gerät falsch",LOOKUP(VALUE(MID(I958,1,2)),Schwierigkeitsstufen!$G$7:$G$19,Schwierigkeitsstufen!$H$7:$H$19)))</f>
        <v/>
      </c>
      <c r="AD958" s="251" t="str">
        <f>IF((($A958="")*($B958=""))+((MID($Y958,1,4)&lt;&gt;"Wahl")*(Deckblatt!$C$14='WK-Vorlagen'!$C$82))+(Deckblatt!$C$14&lt;&gt;'WK-Vorlagen'!$C$82),"",IF(ISERROR(MATCH(VALUE(MID(J958,1,2)),Schwierigkeitsstufen!$G$7:$G$19,0)),"Gerät falsch",LOOKUP(VALUE(MID(J958,1,2)),Schwierigkeitsstufen!$G$7:$G$19,Schwierigkeitsstufen!$H$7:$H$19)))</f>
        <v/>
      </c>
      <c r="AE958" s="211"/>
      <c r="AG958" s="221" t="str">
        <f t="shared" si="126"/>
        <v/>
      </c>
      <c r="AH958" s="222" t="str">
        <f t="shared" si="128"/>
        <v/>
      </c>
      <c r="AI958" s="220">
        <f t="shared" si="133"/>
        <v>4</v>
      </c>
      <c r="AJ958" s="222">
        <f t="shared" si="129"/>
        <v>0</v>
      </c>
      <c r="AK958" s="299" t="str">
        <f>IF(ISERROR(LOOKUP(E958,WKNrListe,Übersicht!$R$7:$R$46)),"-",LOOKUP(E958,WKNrListe,Übersicht!$R$7:$R$46))</f>
        <v>-</v>
      </c>
      <c r="AL958" s="299" t="str">
        <f t="shared" si="132"/>
        <v>-</v>
      </c>
      <c r="AM958" s="303"/>
      <c r="AN958" s="174" t="str">
        <f t="shared" si="134"/>
        <v>Leer</v>
      </c>
    </row>
    <row r="959" spans="1:40" s="174" customFormat="1" ht="15" customHeight="1">
      <c r="A959" s="63"/>
      <c r="B959" s="63"/>
      <c r="C959" s="84"/>
      <c r="D959" s="85"/>
      <c r="E959" s="62"/>
      <c r="F959" s="62"/>
      <c r="G959" s="62"/>
      <c r="H959" s="62"/>
      <c r="I959" s="62"/>
      <c r="J959" s="62"/>
      <c r="K959" s="62"/>
      <c r="L959" s="62"/>
      <c r="M959" s="62"/>
      <c r="N959" s="62"/>
      <c r="O959" s="62"/>
      <c r="P959" s="62"/>
      <c r="Q959" s="62"/>
      <c r="R959" s="62"/>
      <c r="S959" s="258"/>
      <c r="T959" s="248" t="str">
        <f t="shared" si="130"/>
        <v/>
      </c>
      <c r="U959" s="249" t="str">
        <f t="shared" si="131"/>
        <v/>
      </c>
      <c r="V959" s="294" t="str">
        <f t="shared" si="127"/>
        <v/>
      </c>
      <c r="W959" s="294" t="str">
        <f>IF(((E959="")+(F959="")),"",IF(VLOOKUP(F959,Mannschaften!$A$1:$B$54,2,FALSE)&lt;&gt;E959,"Reiter Mannschaften füllen",""))</f>
        <v/>
      </c>
      <c r="X959" s="248" t="str">
        <f>IF(ISBLANK(C959),"",IF((U959&gt;(LOOKUP(E959,WKNrListe,Übersicht!$O$7:$O$46)))+(U959&lt;(LOOKUP(E959,WKNrListe,Übersicht!$P$7:$P$46))),"JG falsch",""))</f>
        <v/>
      </c>
      <c r="Y959" s="255" t="str">
        <f>IF((A959="")*(B959=""),"",IF(ISERROR(MATCH(E959,WKNrListe,0)),"WK falsch",LOOKUP(E959,WKNrListe,Übersicht!$B$7:$B$46)))</f>
        <v/>
      </c>
      <c r="Z959" s="269" t="str">
        <f>IF(((AJ959=0)*(AH959&lt;&gt;"")*(AK959="-"))+((AJ959&lt;&gt;0)*(AH959&lt;&gt;"")*(AK959="-")),IF(AG959="X",Übersicht!$C$70,Übersicht!$C$69),"-")</f>
        <v>-</v>
      </c>
      <c r="AA959" s="252" t="str">
        <f>IF((($A959="")*($B959=""))+((MID($Y959,1,4)&lt;&gt;"Wahl")*(Deckblatt!$C$14='WK-Vorlagen'!$C$82))+(Deckblatt!$C$14&lt;&gt;'WK-Vorlagen'!$C$82),"",IF(ISERROR(MATCH(VALUE(MID(G959,1,2)),Schwierigkeitsstufen!$G$7:$G$19,0)),"Gerät falsch",LOOKUP(VALUE(MID(G959,1,2)),Schwierigkeitsstufen!$G$7:$G$19,Schwierigkeitsstufen!$H$7:$H$19)))</f>
        <v/>
      </c>
      <c r="AB959" s="250" t="str">
        <f>IF((($A959="")*($B959=""))+((MID($Y959,1,4)&lt;&gt;"Wahl")*(Deckblatt!$C$14='WK-Vorlagen'!$C$82))+(Deckblatt!$C$14&lt;&gt;'WK-Vorlagen'!$C$82),"",IF(ISERROR(MATCH(VALUE(MID(H959,1,2)),Schwierigkeitsstufen!$G$7:$G$19,0)),"Gerät falsch",LOOKUP(VALUE(MID(H959,1,2)),Schwierigkeitsstufen!$G$7:$G$19,Schwierigkeitsstufen!$H$7:$H$19)))</f>
        <v/>
      </c>
      <c r="AC959" s="250" t="str">
        <f>IF((($A959="")*($B959=""))+((MID($Y959,1,4)&lt;&gt;"Wahl")*(Deckblatt!$C$14='WK-Vorlagen'!$C$82))+(Deckblatt!$C$14&lt;&gt;'WK-Vorlagen'!$C$82),"",IF(ISERROR(MATCH(VALUE(MID(I959,1,2)),Schwierigkeitsstufen!$G$7:$G$19,0)),"Gerät falsch",LOOKUP(VALUE(MID(I959,1,2)),Schwierigkeitsstufen!$G$7:$G$19,Schwierigkeitsstufen!$H$7:$H$19)))</f>
        <v/>
      </c>
      <c r="AD959" s="251" t="str">
        <f>IF((($A959="")*($B959=""))+((MID($Y959,1,4)&lt;&gt;"Wahl")*(Deckblatt!$C$14='WK-Vorlagen'!$C$82))+(Deckblatt!$C$14&lt;&gt;'WK-Vorlagen'!$C$82),"",IF(ISERROR(MATCH(VALUE(MID(J959,1,2)),Schwierigkeitsstufen!$G$7:$G$19,0)),"Gerät falsch",LOOKUP(VALUE(MID(J959,1,2)),Schwierigkeitsstufen!$G$7:$G$19,Schwierigkeitsstufen!$H$7:$H$19)))</f>
        <v/>
      </c>
      <c r="AE959" s="211"/>
      <c r="AG959" s="221" t="str">
        <f t="shared" si="126"/>
        <v/>
      </c>
      <c r="AH959" s="222" t="str">
        <f t="shared" si="128"/>
        <v/>
      </c>
      <c r="AI959" s="220">
        <f t="shared" si="133"/>
        <v>4</v>
      </c>
      <c r="AJ959" s="222">
        <f t="shared" si="129"/>
        <v>0</v>
      </c>
      <c r="AK959" s="299" t="str">
        <f>IF(ISERROR(LOOKUP(E959,WKNrListe,Übersicht!$R$7:$R$46)),"-",LOOKUP(E959,WKNrListe,Übersicht!$R$7:$R$46))</f>
        <v>-</v>
      </c>
      <c r="AL959" s="299" t="str">
        <f t="shared" si="132"/>
        <v>-</v>
      </c>
      <c r="AM959" s="303"/>
      <c r="AN959" s="174" t="str">
        <f t="shared" si="134"/>
        <v>Leer</v>
      </c>
    </row>
    <row r="960" spans="1:40" s="174" customFormat="1" ht="15" customHeight="1">
      <c r="A960" s="63"/>
      <c r="B960" s="63"/>
      <c r="C960" s="84"/>
      <c r="D960" s="85"/>
      <c r="E960" s="62"/>
      <c r="F960" s="62"/>
      <c r="G960" s="62"/>
      <c r="H960" s="62"/>
      <c r="I960" s="62"/>
      <c r="J960" s="62"/>
      <c r="K960" s="62"/>
      <c r="L960" s="62"/>
      <c r="M960" s="62"/>
      <c r="N960" s="62"/>
      <c r="O960" s="62"/>
      <c r="P960" s="62"/>
      <c r="Q960" s="62"/>
      <c r="R960" s="62"/>
      <c r="S960" s="258"/>
      <c r="T960" s="248" t="str">
        <f t="shared" si="130"/>
        <v/>
      </c>
      <c r="U960" s="249" t="str">
        <f t="shared" si="131"/>
        <v/>
      </c>
      <c r="V960" s="294" t="str">
        <f t="shared" si="127"/>
        <v/>
      </c>
      <c r="W960" s="294" t="str">
        <f>IF(((E960="")+(F960="")),"",IF(VLOOKUP(F960,Mannschaften!$A$1:$B$54,2,FALSE)&lt;&gt;E960,"Reiter Mannschaften füllen",""))</f>
        <v/>
      </c>
      <c r="X960" s="248" t="str">
        <f>IF(ISBLANK(C960),"",IF((U960&gt;(LOOKUP(E960,WKNrListe,Übersicht!$O$7:$O$46)))+(U960&lt;(LOOKUP(E960,WKNrListe,Übersicht!$P$7:$P$46))),"JG falsch",""))</f>
        <v/>
      </c>
      <c r="Y960" s="255" t="str">
        <f>IF((A960="")*(B960=""),"",IF(ISERROR(MATCH(E960,WKNrListe,0)),"WK falsch",LOOKUP(E960,WKNrListe,Übersicht!$B$7:$B$46)))</f>
        <v/>
      </c>
      <c r="Z960" s="269" t="str">
        <f>IF(((AJ960=0)*(AH960&lt;&gt;"")*(AK960="-"))+((AJ960&lt;&gt;0)*(AH960&lt;&gt;"")*(AK960="-")),IF(AG960="X",Übersicht!$C$70,Übersicht!$C$69),"-")</f>
        <v>-</v>
      </c>
      <c r="AA960" s="252" t="str">
        <f>IF((($A960="")*($B960=""))+((MID($Y960,1,4)&lt;&gt;"Wahl")*(Deckblatt!$C$14='WK-Vorlagen'!$C$82))+(Deckblatt!$C$14&lt;&gt;'WK-Vorlagen'!$C$82),"",IF(ISERROR(MATCH(VALUE(MID(G960,1,2)),Schwierigkeitsstufen!$G$7:$G$19,0)),"Gerät falsch",LOOKUP(VALUE(MID(G960,1,2)),Schwierigkeitsstufen!$G$7:$G$19,Schwierigkeitsstufen!$H$7:$H$19)))</f>
        <v/>
      </c>
      <c r="AB960" s="250" t="str">
        <f>IF((($A960="")*($B960=""))+((MID($Y960,1,4)&lt;&gt;"Wahl")*(Deckblatt!$C$14='WK-Vorlagen'!$C$82))+(Deckblatt!$C$14&lt;&gt;'WK-Vorlagen'!$C$82),"",IF(ISERROR(MATCH(VALUE(MID(H960,1,2)),Schwierigkeitsstufen!$G$7:$G$19,0)),"Gerät falsch",LOOKUP(VALUE(MID(H960,1,2)),Schwierigkeitsstufen!$G$7:$G$19,Schwierigkeitsstufen!$H$7:$H$19)))</f>
        <v/>
      </c>
      <c r="AC960" s="250" t="str">
        <f>IF((($A960="")*($B960=""))+((MID($Y960,1,4)&lt;&gt;"Wahl")*(Deckblatt!$C$14='WK-Vorlagen'!$C$82))+(Deckblatt!$C$14&lt;&gt;'WK-Vorlagen'!$C$82),"",IF(ISERROR(MATCH(VALUE(MID(I960,1,2)),Schwierigkeitsstufen!$G$7:$G$19,0)),"Gerät falsch",LOOKUP(VALUE(MID(I960,1,2)),Schwierigkeitsstufen!$G$7:$G$19,Schwierigkeitsstufen!$H$7:$H$19)))</f>
        <v/>
      </c>
      <c r="AD960" s="251" t="str">
        <f>IF((($A960="")*($B960=""))+((MID($Y960,1,4)&lt;&gt;"Wahl")*(Deckblatt!$C$14='WK-Vorlagen'!$C$82))+(Deckblatt!$C$14&lt;&gt;'WK-Vorlagen'!$C$82),"",IF(ISERROR(MATCH(VALUE(MID(J960,1,2)),Schwierigkeitsstufen!$G$7:$G$19,0)),"Gerät falsch",LOOKUP(VALUE(MID(J960,1,2)),Schwierigkeitsstufen!$G$7:$G$19,Schwierigkeitsstufen!$H$7:$H$19)))</f>
        <v/>
      </c>
      <c r="AE960" s="211"/>
      <c r="AG960" s="221" t="str">
        <f t="shared" si="126"/>
        <v/>
      </c>
      <c r="AH960" s="222" t="str">
        <f t="shared" si="128"/>
        <v/>
      </c>
      <c r="AI960" s="220">
        <f t="shared" si="133"/>
        <v>4</v>
      </c>
      <c r="AJ960" s="222">
        <f t="shared" si="129"/>
        <v>0</v>
      </c>
      <c r="AK960" s="299" t="str">
        <f>IF(ISERROR(LOOKUP(E960,WKNrListe,Übersicht!$R$7:$R$46)),"-",LOOKUP(E960,WKNrListe,Übersicht!$R$7:$R$46))</f>
        <v>-</v>
      </c>
      <c r="AL960" s="299" t="str">
        <f t="shared" si="132"/>
        <v>-</v>
      </c>
      <c r="AM960" s="303"/>
      <c r="AN960" s="174" t="str">
        <f t="shared" si="134"/>
        <v>Leer</v>
      </c>
    </row>
    <row r="961" spans="1:40" s="174" customFormat="1" ht="15" customHeight="1">
      <c r="A961" s="63"/>
      <c r="B961" s="63"/>
      <c r="C961" s="84"/>
      <c r="D961" s="85"/>
      <c r="E961" s="62"/>
      <c r="F961" s="62"/>
      <c r="G961" s="62"/>
      <c r="H961" s="62"/>
      <c r="I961" s="62"/>
      <c r="J961" s="62"/>
      <c r="K961" s="62"/>
      <c r="L961" s="62"/>
      <c r="M961" s="62"/>
      <c r="N961" s="62"/>
      <c r="O961" s="62"/>
      <c r="P961" s="62"/>
      <c r="Q961" s="62"/>
      <c r="R961" s="62"/>
      <c r="S961" s="258"/>
      <c r="T961" s="248" t="str">
        <f t="shared" si="130"/>
        <v/>
      </c>
      <c r="U961" s="249" t="str">
        <f t="shared" si="131"/>
        <v/>
      </c>
      <c r="V961" s="294" t="str">
        <f t="shared" si="127"/>
        <v/>
      </c>
      <c r="W961" s="294" t="str">
        <f>IF(((E961="")+(F961="")),"",IF(VLOOKUP(F961,Mannschaften!$A$1:$B$54,2,FALSE)&lt;&gt;E961,"Reiter Mannschaften füllen",""))</f>
        <v/>
      </c>
      <c r="X961" s="248" t="str">
        <f>IF(ISBLANK(C961),"",IF((U961&gt;(LOOKUP(E961,WKNrListe,Übersicht!$O$7:$O$46)))+(U961&lt;(LOOKUP(E961,WKNrListe,Übersicht!$P$7:$P$46))),"JG falsch",""))</f>
        <v/>
      </c>
      <c r="Y961" s="255" t="str">
        <f>IF((A961="")*(B961=""),"",IF(ISERROR(MATCH(E961,WKNrListe,0)),"WK falsch",LOOKUP(E961,WKNrListe,Übersicht!$B$7:$B$46)))</f>
        <v/>
      </c>
      <c r="Z961" s="269" t="str">
        <f>IF(((AJ961=0)*(AH961&lt;&gt;"")*(AK961="-"))+((AJ961&lt;&gt;0)*(AH961&lt;&gt;"")*(AK961="-")),IF(AG961="X",Übersicht!$C$70,Übersicht!$C$69),"-")</f>
        <v>-</v>
      </c>
      <c r="AA961" s="252" t="str">
        <f>IF((($A961="")*($B961=""))+((MID($Y961,1,4)&lt;&gt;"Wahl")*(Deckblatt!$C$14='WK-Vorlagen'!$C$82))+(Deckblatt!$C$14&lt;&gt;'WK-Vorlagen'!$C$82),"",IF(ISERROR(MATCH(VALUE(MID(G961,1,2)),Schwierigkeitsstufen!$G$7:$G$19,0)),"Gerät falsch",LOOKUP(VALUE(MID(G961,1,2)),Schwierigkeitsstufen!$G$7:$G$19,Schwierigkeitsstufen!$H$7:$H$19)))</f>
        <v/>
      </c>
      <c r="AB961" s="250" t="str">
        <f>IF((($A961="")*($B961=""))+((MID($Y961,1,4)&lt;&gt;"Wahl")*(Deckblatt!$C$14='WK-Vorlagen'!$C$82))+(Deckblatt!$C$14&lt;&gt;'WK-Vorlagen'!$C$82),"",IF(ISERROR(MATCH(VALUE(MID(H961,1,2)),Schwierigkeitsstufen!$G$7:$G$19,0)),"Gerät falsch",LOOKUP(VALUE(MID(H961,1,2)),Schwierigkeitsstufen!$G$7:$G$19,Schwierigkeitsstufen!$H$7:$H$19)))</f>
        <v/>
      </c>
      <c r="AC961" s="250" t="str">
        <f>IF((($A961="")*($B961=""))+((MID($Y961,1,4)&lt;&gt;"Wahl")*(Deckblatt!$C$14='WK-Vorlagen'!$C$82))+(Deckblatt!$C$14&lt;&gt;'WK-Vorlagen'!$C$82),"",IF(ISERROR(MATCH(VALUE(MID(I961,1,2)),Schwierigkeitsstufen!$G$7:$G$19,0)),"Gerät falsch",LOOKUP(VALUE(MID(I961,1,2)),Schwierigkeitsstufen!$G$7:$G$19,Schwierigkeitsstufen!$H$7:$H$19)))</f>
        <v/>
      </c>
      <c r="AD961" s="251" t="str">
        <f>IF((($A961="")*($B961=""))+((MID($Y961,1,4)&lt;&gt;"Wahl")*(Deckblatt!$C$14='WK-Vorlagen'!$C$82))+(Deckblatt!$C$14&lt;&gt;'WK-Vorlagen'!$C$82),"",IF(ISERROR(MATCH(VALUE(MID(J961,1,2)),Schwierigkeitsstufen!$G$7:$G$19,0)),"Gerät falsch",LOOKUP(VALUE(MID(J961,1,2)),Schwierigkeitsstufen!$G$7:$G$19,Schwierigkeitsstufen!$H$7:$H$19)))</f>
        <v/>
      </c>
      <c r="AE961" s="211"/>
      <c r="AG961" s="221" t="str">
        <f t="shared" si="126"/>
        <v/>
      </c>
      <c r="AH961" s="222" t="str">
        <f t="shared" si="128"/>
        <v/>
      </c>
      <c r="AI961" s="220">
        <f t="shared" si="133"/>
        <v>4</v>
      </c>
      <c r="AJ961" s="222">
        <f t="shared" si="129"/>
        <v>0</v>
      </c>
      <c r="AK961" s="299" t="str">
        <f>IF(ISERROR(LOOKUP(E961,WKNrListe,Übersicht!$R$7:$R$46)),"-",LOOKUP(E961,WKNrListe,Übersicht!$R$7:$R$46))</f>
        <v>-</v>
      </c>
      <c r="AL961" s="299" t="str">
        <f t="shared" si="132"/>
        <v>-</v>
      </c>
      <c r="AM961" s="303"/>
      <c r="AN961" s="174" t="str">
        <f t="shared" si="134"/>
        <v>Leer</v>
      </c>
    </row>
    <row r="962" spans="1:40" s="174" customFormat="1" ht="15" customHeight="1">
      <c r="A962" s="63"/>
      <c r="B962" s="63"/>
      <c r="C962" s="84"/>
      <c r="D962" s="85"/>
      <c r="E962" s="62"/>
      <c r="F962" s="62"/>
      <c r="G962" s="62"/>
      <c r="H962" s="62"/>
      <c r="I962" s="62"/>
      <c r="J962" s="62"/>
      <c r="K962" s="62"/>
      <c r="L962" s="62"/>
      <c r="M962" s="62"/>
      <c r="N962" s="62"/>
      <c r="O962" s="62"/>
      <c r="P962" s="62"/>
      <c r="Q962" s="62"/>
      <c r="R962" s="62"/>
      <c r="S962" s="258"/>
      <c r="T962" s="248" t="str">
        <f t="shared" si="130"/>
        <v/>
      </c>
      <c r="U962" s="249" t="str">
        <f t="shared" si="131"/>
        <v/>
      </c>
      <c r="V962" s="294" t="str">
        <f t="shared" si="127"/>
        <v/>
      </c>
      <c r="W962" s="294" t="str">
        <f>IF(((E962="")+(F962="")),"",IF(VLOOKUP(F962,Mannschaften!$A$1:$B$54,2,FALSE)&lt;&gt;E962,"Reiter Mannschaften füllen",""))</f>
        <v/>
      </c>
      <c r="X962" s="248" t="str">
        <f>IF(ISBLANK(C962),"",IF((U962&gt;(LOOKUP(E962,WKNrListe,Übersicht!$O$7:$O$46)))+(U962&lt;(LOOKUP(E962,WKNrListe,Übersicht!$P$7:$P$46))),"JG falsch",""))</f>
        <v/>
      </c>
      <c r="Y962" s="255" t="str">
        <f>IF((A962="")*(B962=""),"",IF(ISERROR(MATCH(E962,WKNrListe,0)),"WK falsch",LOOKUP(E962,WKNrListe,Übersicht!$B$7:$B$46)))</f>
        <v/>
      </c>
      <c r="Z962" s="269" t="str">
        <f>IF(((AJ962=0)*(AH962&lt;&gt;"")*(AK962="-"))+((AJ962&lt;&gt;0)*(AH962&lt;&gt;"")*(AK962="-")),IF(AG962="X",Übersicht!$C$70,Übersicht!$C$69),"-")</f>
        <v>-</v>
      </c>
      <c r="AA962" s="252" t="str">
        <f>IF((($A962="")*($B962=""))+((MID($Y962,1,4)&lt;&gt;"Wahl")*(Deckblatt!$C$14='WK-Vorlagen'!$C$82))+(Deckblatt!$C$14&lt;&gt;'WK-Vorlagen'!$C$82),"",IF(ISERROR(MATCH(VALUE(MID(G962,1,2)),Schwierigkeitsstufen!$G$7:$G$19,0)),"Gerät falsch",LOOKUP(VALUE(MID(G962,1,2)),Schwierigkeitsstufen!$G$7:$G$19,Schwierigkeitsstufen!$H$7:$H$19)))</f>
        <v/>
      </c>
      <c r="AB962" s="250" t="str">
        <f>IF((($A962="")*($B962=""))+((MID($Y962,1,4)&lt;&gt;"Wahl")*(Deckblatt!$C$14='WK-Vorlagen'!$C$82))+(Deckblatt!$C$14&lt;&gt;'WK-Vorlagen'!$C$82),"",IF(ISERROR(MATCH(VALUE(MID(H962,1,2)),Schwierigkeitsstufen!$G$7:$G$19,0)),"Gerät falsch",LOOKUP(VALUE(MID(H962,1,2)),Schwierigkeitsstufen!$G$7:$G$19,Schwierigkeitsstufen!$H$7:$H$19)))</f>
        <v/>
      </c>
      <c r="AC962" s="250" t="str">
        <f>IF((($A962="")*($B962=""))+((MID($Y962,1,4)&lt;&gt;"Wahl")*(Deckblatt!$C$14='WK-Vorlagen'!$C$82))+(Deckblatt!$C$14&lt;&gt;'WK-Vorlagen'!$C$82),"",IF(ISERROR(MATCH(VALUE(MID(I962,1,2)),Schwierigkeitsstufen!$G$7:$G$19,0)),"Gerät falsch",LOOKUP(VALUE(MID(I962,1,2)),Schwierigkeitsstufen!$G$7:$G$19,Schwierigkeitsstufen!$H$7:$H$19)))</f>
        <v/>
      </c>
      <c r="AD962" s="251" t="str">
        <f>IF((($A962="")*($B962=""))+((MID($Y962,1,4)&lt;&gt;"Wahl")*(Deckblatt!$C$14='WK-Vorlagen'!$C$82))+(Deckblatt!$C$14&lt;&gt;'WK-Vorlagen'!$C$82),"",IF(ISERROR(MATCH(VALUE(MID(J962,1,2)),Schwierigkeitsstufen!$G$7:$G$19,0)),"Gerät falsch",LOOKUP(VALUE(MID(J962,1,2)),Schwierigkeitsstufen!$G$7:$G$19,Schwierigkeitsstufen!$H$7:$H$19)))</f>
        <v/>
      </c>
      <c r="AE962" s="211"/>
      <c r="AG962" s="221" t="str">
        <f t="shared" si="126"/>
        <v/>
      </c>
      <c r="AH962" s="222" t="str">
        <f t="shared" si="128"/>
        <v/>
      </c>
      <c r="AI962" s="220">
        <f t="shared" si="133"/>
        <v>4</v>
      </c>
      <c r="AJ962" s="222">
        <f t="shared" si="129"/>
        <v>0</v>
      </c>
      <c r="AK962" s="299" t="str">
        <f>IF(ISERROR(LOOKUP(E962,WKNrListe,Übersicht!$R$7:$R$46)),"-",LOOKUP(E962,WKNrListe,Übersicht!$R$7:$R$46))</f>
        <v>-</v>
      </c>
      <c r="AL962" s="299" t="str">
        <f t="shared" si="132"/>
        <v>-</v>
      </c>
      <c r="AM962" s="303"/>
      <c r="AN962" s="174" t="str">
        <f t="shared" si="134"/>
        <v>Leer</v>
      </c>
    </row>
    <row r="963" spans="1:40" s="174" customFormat="1" ht="15" customHeight="1">
      <c r="A963" s="63"/>
      <c r="B963" s="63"/>
      <c r="C963" s="84"/>
      <c r="D963" s="85"/>
      <c r="E963" s="62"/>
      <c r="F963" s="62"/>
      <c r="G963" s="62"/>
      <c r="H963" s="62"/>
      <c r="I963" s="62"/>
      <c r="J963" s="62"/>
      <c r="K963" s="62"/>
      <c r="L963" s="62"/>
      <c r="M963" s="62"/>
      <c r="N963" s="62"/>
      <c r="O963" s="62"/>
      <c r="P963" s="62"/>
      <c r="Q963" s="62"/>
      <c r="R963" s="62"/>
      <c r="S963" s="258"/>
      <c r="T963" s="248" t="str">
        <f t="shared" si="130"/>
        <v/>
      </c>
      <c r="U963" s="249" t="str">
        <f t="shared" si="131"/>
        <v/>
      </c>
      <c r="V963" s="294" t="str">
        <f t="shared" si="127"/>
        <v/>
      </c>
      <c r="W963" s="294" t="str">
        <f>IF(((E963="")+(F963="")),"",IF(VLOOKUP(F963,Mannschaften!$A$1:$B$54,2,FALSE)&lt;&gt;E963,"Reiter Mannschaften füllen",""))</f>
        <v/>
      </c>
      <c r="X963" s="248" t="str">
        <f>IF(ISBLANK(C963),"",IF((U963&gt;(LOOKUP(E963,WKNrListe,Übersicht!$O$7:$O$46)))+(U963&lt;(LOOKUP(E963,WKNrListe,Übersicht!$P$7:$P$46))),"JG falsch",""))</f>
        <v/>
      </c>
      <c r="Y963" s="255" t="str">
        <f>IF((A963="")*(B963=""),"",IF(ISERROR(MATCH(E963,WKNrListe,0)),"WK falsch",LOOKUP(E963,WKNrListe,Übersicht!$B$7:$B$46)))</f>
        <v/>
      </c>
      <c r="Z963" s="269" t="str">
        <f>IF(((AJ963=0)*(AH963&lt;&gt;"")*(AK963="-"))+((AJ963&lt;&gt;0)*(AH963&lt;&gt;"")*(AK963="-")),IF(AG963="X",Übersicht!$C$70,Übersicht!$C$69),"-")</f>
        <v>-</v>
      </c>
      <c r="AA963" s="252" t="str">
        <f>IF((($A963="")*($B963=""))+((MID($Y963,1,4)&lt;&gt;"Wahl")*(Deckblatt!$C$14='WK-Vorlagen'!$C$82))+(Deckblatt!$C$14&lt;&gt;'WK-Vorlagen'!$C$82),"",IF(ISERROR(MATCH(VALUE(MID(G963,1,2)),Schwierigkeitsstufen!$G$7:$G$19,0)),"Gerät falsch",LOOKUP(VALUE(MID(G963,1,2)),Schwierigkeitsstufen!$G$7:$G$19,Schwierigkeitsstufen!$H$7:$H$19)))</f>
        <v/>
      </c>
      <c r="AB963" s="250" t="str">
        <f>IF((($A963="")*($B963=""))+((MID($Y963,1,4)&lt;&gt;"Wahl")*(Deckblatt!$C$14='WK-Vorlagen'!$C$82))+(Deckblatt!$C$14&lt;&gt;'WK-Vorlagen'!$C$82),"",IF(ISERROR(MATCH(VALUE(MID(H963,1,2)),Schwierigkeitsstufen!$G$7:$G$19,0)),"Gerät falsch",LOOKUP(VALUE(MID(H963,1,2)),Schwierigkeitsstufen!$G$7:$G$19,Schwierigkeitsstufen!$H$7:$H$19)))</f>
        <v/>
      </c>
      <c r="AC963" s="250" t="str">
        <f>IF((($A963="")*($B963=""))+((MID($Y963,1,4)&lt;&gt;"Wahl")*(Deckblatt!$C$14='WK-Vorlagen'!$C$82))+(Deckblatt!$C$14&lt;&gt;'WK-Vorlagen'!$C$82),"",IF(ISERROR(MATCH(VALUE(MID(I963,1,2)),Schwierigkeitsstufen!$G$7:$G$19,0)),"Gerät falsch",LOOKUP(VALUE(MID(I963,1,2)),Schwierigkeitsstufen!$G$7:$G$19,Schwierigkeitsstufen!$H$7:$H$19)))</f>
        <v/>
      </c>
      <c r="AD963" s="251" t="str">
        <f>IF((($A963="")*($B963=""))+((MID($Y963,1,4)&lt;&gt;"Wahl")*(Deckblatt!$C$14='WK-Vorlagen'!$C$82))+(Deckblatt!$C$14&lt;&gt;'WK-Vorlagen'!$C$82),"",IF(ISERROR(MATCH(VALUE(MID(J963,1,2)),Schwierigkeitsstufen!$G$7:$G$19,0)),"Gerät falsch",LOOKUP(VALUE(MID(J963,1,2)),Schwierigkeitsstufen!$G$7:$G$19,Schwierigkeitsstufen!$H$7:$H$19)))</f>
        <v/>
      </c>
      <c r="AE963" s="211"/>
      <c r="AG963" s="221" t="str">
        <f t="shared" si="126"/>
        <v/>
      </c>
      <c r="AH963" s="222" t="str">
        <f t="shared" si="128"/>
        <v/>
      </c>
      <c r="AI963" s="220">
        <f t="shared" si="133"/>
        <v>4</v>
      </c>
      <c r="AJ963" s="222">
        <f t="shared" si="129"/>
        <v>0</v>
      </c>
      <c r="AK963" s="299" t="str">
        <f>IF(ISERROR(LOOKUP(E963,WKNrListe,Übersicht!$R$7:$R$46)),"-",LOOKUP(E963,WKNrListe,Übersicht!$R$7:$R$46))</f>
        <v>-</v>
      </c>
      <c r="AL963" s="299" t="str">
        <f t="shared" si="132"/>
        <v>-</v>
      </c>
      <c r="AM963" s="303"/>
      <c r="AN963" s="174" t="str">
        <f t="shared" si="134"/>
        <v>Leer</v>
      </c>
    </row>
    <row r="964" spans="1:40" s="174" customFormat="1" ht="15" customHeight="1">
      <c r="A964" s="63"/>
      <c r="B964" s="63"/>
      <c r="C964" s="84"/>
      <c r="D964" s="85"/>
      <c r="E964" s="62"/>
      <c r="F964" s="62"/>
      <c r="G964" s="62"/>
      <c r="H964" s="62"/>
      <c r="I964" s="62"/>
      <c r="J964" s="62"/>
      <c r="K964" s="62"/>
      <c r="L964" s="62"/>
      <c r="M964" s="62"/>
      <c r="N964" s="62"/>
      <c r="O964" s="62"/>
      <c r="P964" s="62"/>
      <c r="Q964" s="62"/>
      <c r="R964" s="62"/>
      <c r="S964" s="258"/>
      <c r="T964" s="248" t="str">
        <f t="shared" si="130"/>
        <v/>
      </c>
      <c r="U964" s="249" t="str">
        <f t="shared" si="131"/>
        <v/>
      </c>
      <c r="V964" s="294" t="str">
        <f t="shared" si="127"/>
        <v/>
      </c>
      <c r="W964" s="294" t="str">
        <f>IF(((E964="")+(F964="")),"",IF(VLOOKUP(F964,Mannschaften!$A$1:$B$54,2,FALSE)&lt;&gt;E964,"Reiter Mannschaften füllen",""))</f>
        <v/>
      </c>
      <c r="X964" s="248" t="str">
        <f>IF(ISBLANK(C964),"",IF((U964&gt;(LOOKUP(E964,WKNrListe,Übersicht!$O$7:$O$46)))+(U964&lt;(LOOKUP(E964,WKNrListe,Übersicht!$P$7:$P$46))),"JG falsch",""))</f>
        <v/>
      </c>
      <c r="Y964" s="255" t="str">
        <f>IF((A964="")*(B964=""),"",IF(ISERROR(MATCH(E964,WKNrListe,0)),"WK falsch",LOOKUP(E964,WKNrListe,Übersicht!$B$7:$B$46)))</f>
        <v/>
      </c>
      <c r="Z964" s="269" t="str">
        <f>IF(((AJ964=0)*(AH964&lt;&gt;"")*(AK964="-"))+((AJ964&lt;&gt;0)*(AH964&lt;&gt;"")*(AK964="-")),IF(AG964="X",Übersicht!$C$70,Übersicht!$C$69),"-")</f>
        <v>-</v>
      </c>
      <c r="AA964" s="252" t="str">
        <f>IF((($A964="")*($B964=""))+((MID($Y964,1,4)&lt;&gt;"Wahl")*(Deckblatt!$C$14='WK-Vorlagen'!$C$82))+(Deckblatt!$C$14&lt;&gt;'WK-Vorlagen'!$C$82),"",IF(ISERROR(MATCH(VALUE(MID(G964,1,2)),Schwierigkeitsstufen!$G$7:$G$19,0)),"Gerät falsch",LOOKUP(VALUE(MID(G964,1,2)),Schwierigkeitsstufen!$G$7:$G$19,Schwierigkeitsstufen!$H$7:$H$19)))</f>
        <v/>
      </c>
      <c r="AB964" s="250" t="str">
        <f>IF((($A964="")*($B964=""))+((MID($Y964,1,4)&lt;&gt;"Wahl")*(Deckblatt!$C$14='WK-Vorlagen'!$C$82))+(Deckblatt!$C$14&lt;&gt;'WK-Vorlagen'!$C$82),"",IF(ISERROR(MATCH(VALUE(MID(H964,1,2)),Schwierigkeitsstufen!$G$7:$G$19,0)),"Gerät falsch",LOOKUP(VALUE(MID(H964,1,2)),Schwierigkeitsstufen!$G$7:$G$19,Schwierigkeitsstufen!$H$7:$H$19)))</f>
        <v/>
      </c>
      <c r="AC964" s="250" t="str">
        <f>IF((($A964="")*($B964=""))+((MID($Y964,1,4)&lt;&gt;"Wahl")*(Deckblatt!$C$14='WK-Vorlagen'!$C$82))+(Deckblatt!$C$14&lt;&gt;'WK-Vorlagen'!$C$82),"",IF(ISERROR(MATCH(VALUE(MID(I964,1,2)),Schwierigkeitsstufen!$G$7:$G$19,0)),"Gerät falsch",LOOKUP(VALUE(MID(I964,1,2)),Schwierigkeitsstufen!$G$7:$G$19,Schwierigkeitsstufen!$H$7:$H$19)))</f>
        <v/>
      </c>
      <c r="AD964" s="251" t="str">
        <f>IF((($A964="")*($B964=""))+((MID($Y964,1,4)&lt;&gt;"Wahl")*(Deckblatt!$C$14='WK-Vorlagen'!$C$82))+(Deckblatt!$C$14&lt;&gt;'WK-Vorlagen'!$C$82),"",IF(ISERROR(MATCH(VALUE(MID(J964,1,2)),Schwierigkeitsstufen!$G$7:$G$19,0)),"Gerät falsch",LOOKUP(VALUE(MID(J964,1,2)),Schwierigkeitsstufen!$G$7:$G$19,Schwierigkeitsstufen!$H$7:$H$19)))</f>
        <v/>
      </c>
      <c r="AE964" s="211"/>
      <c r="AG964" s="221" t="str">
        <f t="shared" ref="AG964:AG999" si="135">IF((C964&lt;&gt;0),IF(((Jahr-U964)&gt;19)*(AJ964=0)*(AK964&lt;&gt;1),"X",IF(((Jahr-U964)&gt;19)*(AJ964=0),"J","-")),"")</f>
        <v/>
      </c>
      <c r="AH964" s="222" t="str">
        <f t="shared" si="128"/>
        <v/>
      </c>
      <c r="AI964" s="220">
        <f t="shared" si="133"/>
        <v>4</v>
      </c>
      <c r="AJ964" s="222">
        <f t="shared" si="129"/>
        <v>0</v>
      </c>
      <c r="AK964" s="299" t="str">
        <f>IF(ISERROR(LOOKUP(E964,WKNrListe,Übersicht!$R$7:$R$46)),"-",LOOKUP(E964,WKNrListe,Übersicht!$R$7:$R$46))</f>
        <v>-</v>
      </c>
      <c r="AL964" s="299" t="str">
        <f t="shared" si="132"/>
        <v>-</v>
      </c>
      <c r="AM964" s="303"/>
      <c r="AN964" s="174" t="str">
        <f t="shared" si="134"/>
        <v>Leer</v>
      </c>
    </row>
    <row r="965" spans="1:40" s="174" customFormat="1" ht="15" customHeight="1">
      <c r="A965" s="63"/>
      <c r="B965" s="63"/>
      <c r="C965" s="84"/>
      <c r="D965" s="85"/>
      <c r="E965" s="62"/>
      <c r="F965" s="62"/>
      <c r="G965" s="62"/>
      <c r="H965" s="62"/>
      <c r="I965" s="62"/>
      <c r="J965" s="62"/>
      <c r="K965" s="62"/>
      <c r="L965" s="62"/>
      <c r="M965" s="62"/>
      <c r="N965" s="62"/>
      <c r="O965" s="62"/>
      <c r="P965" s="62"/>
      <c r="Q965" s="62"/>
      <c r="R965" s="62"/>
      <c r="S965" s="258"/>
      <c r="T965" s="248" t="str">
        <f t="shared" si="130"/>
        <v/>
      </c>
      <c r="U965" s="249" t="str">
        <f t="shared" si="131"/>
        <v/>
      </c>
      <c r="V965" s="294" t="str">
        <f t="shared" ref="V965:V999" si="136">IF(((AK965="-")*(F965=""))+((AK965=1)*(F965&lt;&gt;""))+(Y965="WK falsch"),"",IF((AK965=1)*(F965=""),"Mannsch-Nr fehlt","Mannsch-Nr entf"))</f>
        <v/>
      </c>
      <c r="W965" s="294" t="str">
        <f>IF(((E965="")+(F965="")),"",IF(VLOOKUP(F965,Mannschaften!$A$1:$B$54,2,FALSE)&lt;&gt;E965,"Reiter Mannschaften füllen",""))</f>
        <v/>
      </c>
      <c r="X965" s="248" t="str">
        <f>IF(ISBLANK(C965),"",IF((U965&gt;(LOOKUP(E965,WKNrListe,Übersicht!$O$7:$O$46)))+(U965&lt;(LOOKUP(E965,WKNrListe,Übersicht!$P$7:$P$46))),"JG falsch",""))</f>
        <v/>
      </c>
      <c r="Y965" s="255" t="str">
        <f>IF((A965="")*(B965=""),"",IF(ISERROR(MATCH(E965,WKNrListe,0)),"WK falsch",LOOKUP(E965,WKNrListe,Übersicht!$B$7:$B$46)))</f>
        <v/>
      </c>
      <c r="Z965" s="269" t="str">
        <f>IF(((AJ965=0)*(AH965&lt;&gt;"")*(AK965="-"))+((AJ965&lt;&gt;0)*(AH965&lt;&gt;"")*(AK965="-")),IF(AG965="X",Übersicht!$C$70,Übersicht!$C$69),"-")</f>
        <v>-</v>
      </c>
      <c r="AA965" s="252" t="str">
        <f>IF((($A965="")*($B965=""))+((MID($Y965,1,4)&lt;&gt;"Wahl")*(Deckblatt!$C$14='WK-Vorlagen'!$C$82))+(Deckblatt!$C$14&lt;&gt;'WK-Vorlagen'!$C$82),"",IF(ISERROR(MATCH(VALUE(MID(G965,1,2)),Schwierigkeitsstufen!$G$7:$G$19,0)),"Gerät falsch",LOOKUP(VALUE(MID(G965,1,2)),Schwierigkeitsstufen!$G$7:$G$19,Schwierigkeitsstufen!$H$7:$H$19)))</f>
        <v/>
      </c>
      <c r="AB965" s="250" t="str">
        <f>IF((($A965="")*($B965=""))+((MID($Y965,1,4)&lt;&gt;"Wahl")*(Deckblatt!$C$14='WK-Vorlagen'!$C$82))+(Deckblatt!$C$14&lt;&gt;'WK-Vorlagen'!$C$82),"",IF(ISERROR(MATCH(VALUE(MID(H965,1,2)),Schwierigkeitsstufen!$G$7:$G$19,0)),"Gerät falsch",LOOKUP(VALUE(MID(H965,1,2)),Schwierigkeitsstufen!$G$7:$G$19,Schwierigkeitsstufen!$H$7:$H$19)))</f>
        <v/>
      </c>
      <c r="AC965" s="250" t="str">
        <f>IF((($A965="")*($B965=""))+((MID($Y965,1,4)&lt;&gt;"Wahl")*(Deckblatt!$C$14='WK-Vorlagen'!$C$82))+(Deckblatt!$C$14&lt;&gt;'WK-Vorlagen'!$C$82),"",IF(ISERROR(MATCH(VALUE(MID(I965,1,2)),Schwierigkeitsstufen!$G$7:$G$19,0)),"Gerät falsch",LOOKUP(VALUE(MID(I965,1,2)),Schwierigkeitsstufen!$G$7:$G$19,Schwierigkeitsstufen!$H$7:$H$19)))</f>
        <v/>
      </c>
      <c r="AD965" s="251" t="str">
        <f>IF((($A965="")*($B965=""))+((MID($Y965,1,4)&lt;&gt;"Wahl")*(Deckblatt!$C$14='WK-Vorlagen'!$C$82))+(Deckblatt!$C$14&lt;&gt;'WK-Vorlagen'!$C$82),"",IF(ISERROR(MATCH(VALUE(MID(J965,1,2)),Schwierigkeitsstufen!$G$7:$G$19,0)),"Gerät falsch",LOOKUP(VALUE(MID(J965,1,2)),Schwierigkeitsstufen!$G$7:$G$19,Schwierigkeitsstufen!$H$7:$H$19)))</f>
        <v/>
      </c>
      <c r="AE965" s="211"/>
      <c r="AG965" s="221" t="str">
        <f t="shared" si="135"/>
        <v/>
      </c>
      <c r="AH965" s="222" t="str">
        <f t="shared" ref="AH965:AH999" si="137">CONCATENATE(TRIM(A965),TRIM(B965),TRIM(C965))</f>
        <v/>
      </c>
      <c r="AI965" s="220">
        <f t="shared" si="133"/>
        <v>4</v>
      </c>
      <c r="AJ965" s="222">
        <f t="shared" ref="AJ965:AJ999" si="138">IF(AH965="",0,IF(ROW(AH965)=AI965,0,AI965))</f>
        <v>0</v>
      </c>
      <c r="AK965" s="299" t="str">
        <f>IF(ISERROR(LOOKUP(E965,WKNrListe,Übersicht!$R$7:$R$46)),"-",LOOKUP(E965,WKNrListe,Übersicht!$R$7:$R$46))</f>
        <v>-</v>
      </c>
      <c r="AL965" s="299" t="str">
        <f t="shared" si="132"/>
        <v>-</v>
      </c>
      <c r="AM965" s="303"/>
      <c r="AN965" s="174" t="str">
        <f t="shared" si="134"/>
        <v>Leer</v>
      </c>
    </row>
    <row r="966" spans="1:40" s="174" customFormat="1" ht="15" customHeight="1">
      <c r="A966" s="63"/>
      <c r="B966" s="63"/>
      <c r="C966" s="84"/>
      <c r="D966" s="85"/>
      <c r="E966" s="62"/>
      <c r="F966" s="62"/>
      <c r="G966" s="62"/>
      <c r="H966" s="62"/>
      <c r="I966" s="62"/>
      <c r="J966" s="62"/>
      <c r="K966" s="62"/>
      <c r="L966" s="62"/>
      <c r="M966" s="62"/>
      <c r="N966" s="62"/>
      <c r="O966" s="62"/>
      <c r="P966" s="62"/>
      <c r="Q966" s="62"/>
      <c r="R966" s="62"/>
      <c r="S966" s="258"/>
      <c r="T966" s="248" t="str">
        <f t="shared" ref="T966:T999" si="139">IF(AND(OR(ISTEXT(A966),ISTEXT(B966),NOT(ISBLANK(C966)),NOT(ISBLANK(D966)),NOT(ISBLANK(E966))),OR(ISBLANK(A966),ISBLANK(B966),ISBLANK(C966),ISBLANK(E966))),"unvollständig","")</f>
        <v/>
      </c>
      <c r="U966" s="249" t="str">
        <f t="shared" ref="U966:U999" si="140">IF(ISBLANK(C966),"",YEAR(C966))</f>
        <v/>
      </c>
      <c r="V966" s="294" t="str">
        <f t="shared" si="136"/>
        <v/>
      </c>
      <c r="W966" s="294" t="str">
        <f>IF(((E966="")+(F966="")),"",IF(VLOOKUP(F966,Mannschaften!$A$1:$B$54,2,FALSE)&lt;&gt;E966,"Reiter Mannschaften füllen",""))</f>
        <v/>
      </c>
      <c r="X966" s="248" t="str">
        <f>IF(ISBLANK(C966),"",IF((U966&gt;(LOOKUP(E966,WKNrListe,Übersicht!$O$7:$O$46)))+(U966&lt;(LOOKUP(E966,WKNrListe,Übersicht!$P$7:$P$46))),"JG falsch",""))</f>
        <v/>
      </c>
      <c r="Y966" s="255" t="str">
        <f>IF((A966="")*(B966=""),"",IF(ISERROR(MATCH(E966,WKNrListe,0)),"WK falsch",LOOKUP(E966,WKNrListe,Übersicht!$B$7:$B$46)))</f>
        <v/>
      </c>
      <c r="Z966" s="269" t="str">
        <f>IF(((AJ966=0)*(AH966&lt;&gt;"")*(AK966="-"))+((AJ966&lt;&gt;0)*(AH966&lt;&gt;"")*(AK966="-")),IF(AG966="X",Übersicht!$C$70,Übersicht!$C$69),"-")</f>
        <v>-</v>
      </c>
      <c r="AA966" s="252" t="str">
        <f>IF((($A966="")*($B966=""))+((MID($Y966,1,4)&lt;&gt;"Wahl")*(Deckblatt!$C$14='WK-Vorlagen'!$C$82))+(Deckblatt!$C$14&lt;&gt;'WK-Vorlagen'!$C$82),"",IF(ISERROR(MATCH(VALUE(MID(G966,1,2)),Schwierigkeitsstufen!$G$7:$G$19,0)),"Gerät falsch",LOOKUP(VALUE(MID(G966,1,2)),Schwierigkeitsstufen!$G$7:$G$19,Schwierigkeitsstufen!$H$7:$H$19)))</f>
        <v/>
      </c>
      <c r="AB966" s="250" t="str">
        <f>IF((($A966="")*($B966=""))+((MID($Y966,1,4)&lt;&gt;"Wahl")*(Deckblatt!$C$14='WK-Vorlagen'!$C$82))+(Deckblatt!$C$14&lt;&gt;'WK-Vorlagen'!$C$82),"",IF(ISERROR(MATCH(VALUE(MID(H966,1,2)),Schwierigkeitsstufen!$G$7:$G$19,0)),"Gerät falsch",LOOKUP(VALUE(MID(H966,1,2)),Schwierigkeitsstufen!$G$7:$G$19,Schwierigkeitsstufen!$H$7:$H$19)))</f>
        <v/>
      </c>
      <c r="AC966" s="250" t="str">
        <f>IF((($A966="")*($B966=""))+((MID($Y966,1,4)&lt;&gt;"Wahl")*(Deckblatt!$C$14='WK-Vorlagen'!$C$82))+(Deckblatt!$C$14&lt;&gt;'WK-Vorlagen'!$C$82),"",IF(ISERROR(MATCH(VALUE(MID(I966,1,2)),Schwierigkeitsstufen!$G$7:$G$19,0)),"Gerät falsch",LOOKUP(VALUE(MID(I966,1,2)),Schwierigkeitsstufen!$G$7:$G$19,Schwierigkeitsstufen!$H$7:$H$19)))</f>
        <v/>
      </c>
      <c r="AD966" s="251" t="str">
        <f>IF((($A966="")*($B966=""))+((MID($Y966,1,4)&lt;&gt;"Wahl")*(Deckblatt!$C$14='WK-Vorlagen'!$C$82))+(Deckblatt!$C$14&lt;&gt;'WK-Vorlagen'!$C$82),"",IF(ISERROR(MATCH(VALUE(MID(J966,1,2)),Schwierigkeitsstufen!$G$7:$G$19,0)),"Gerät falsch",LOOKUP(VALUE(MID(J966,1,2)),Schwierigkeitsstufen!$G$7:$G$19,Schwierigkeitsstufen!$H$7:$H$19)))</f>
        <v/>
      </c>
      <c r="AE966" s="211"/>
      <c r="AG966" s="221" t="str">
        <f t="shared" si="135"/>
        <v/>
      </c>
      <c r="AH966" s="222" t="str">
        <f t="shared" si="137"/>
        <v/>
      </c>
      <c r="AI966" s="220">
        <f t="shared" si="133"/>
        <v>4</v>
      </c>
      <c r="AJ966" s="222">
        <f t="shared" si="138"/>
        <v>0</v>
      </c>
      <c r="AK966" s="299" t="str">
        <f>IF(ISERROR(LOOKUP(E966,WKNrListe,Übersicht!$R$7:$R$46)),"-",LOOKUP(E966,WKNrListe,Übersicht!$R$7:$R$46))</f>
        <v>-</v>
      </c>
      <c r="AL966" s="299" t="str">
        <f t="shared" ref="AL966:AL999" si="141">IF(E966="","-",E966)</f>
        <v>-</v>
      </c>
      <c r="AM966" s="303"/>
      <c r="AN966" s="174" t="str">
        <f t="shared" si="134"/>
        <v>Leer</v>
      </c>
    </row>
    <row r="967" spans="1:40" s="174" customFormat="1" ht="15" customHeight="1">
      <c r="A967" s="63"/>
      <c r="B967" s="63"/>
      <c r="C967" s="84"/>
      <c r="D967" s="85"/>
      <c r="E967" s="62"/>
      <c r="F967" s="62"/>
      <c r="G967" s="62"/>
      <c r="H967" s="62"/>
      <c r="I967" s="62"/>
      <c r="J967" s="62"/>
      <c r="K967" s="62"/>
      <c r="L967" s="62"/>
      <c r="M967" s="62"/>
      <c r="N967" s="62"/>
      <c r="O967" s="62"/>
      <c r="P967" s="62"/>
      <c r="Q967" s="62"/>
      <c r="R967" s="62"/>
      <c r="S967" s="258"/>
      <c r="T967" s="248" t="str">
        <f t="shared" si="139"/>
        <v/>
      </c>
      <c r="U967" s="249" t="str">
        <f t="shared" si="140"/>
        <v/>
      </c>
      <c r="V967" s="294" t="str">
        <f t="shared" si="136"/>
        <v/>
      </c>
      <c r="W967" s="294" t="str">
        <f>IF(((E967="")+(F967="")),"",IF(VLOOKUP(F967,Mannschaften!$A$1:$B$54,2,FALSE)&lt;&gt;E967,"Reiter Mannschaften füllen",""))</f>
        <v/>
      </c>
      <c r="X967" s="248" t="str">
        <f>IF(ISBLANK(C967),"",IF((U967&gt;(LOOKUP(E967,WKNrListe,Übersicht!$O$7:$O$46)))+(U967&lt;(LOOKUP(E967,WKNrListe,Übersicht!$P$7:$P$46))),"JG falsch",""))</f>
        <v/>
      </c>
      <c r="Y967" s="255" t="str">
        <f>IF((A967="")*(B967=""),"",IF(ISERROR(MATCH(E967,WKNrListe,0)),"WK falsch",LOOKUP(E967,WKNrListe,Übersicht!$B$7:$B$46)))</f>
        <v/>
      </c>
      <c r="Z967" s="269" t="str">
        <f>IF(((AJ967=0)*(AH967&lt;&gt;"")*(AK967="-"))+((AJ967&lt;&gt;0)*(AH967&lt;&gt;"")*(AK967="-")),IF(AG967="X",Übersicht!$C$70,Übersicht!$C$69),"-")</f>
        <v>-</v>
      </c>
      <c r="AA967" s="252" t="str">
        <f>IF((($A967="")*($B967=""))+((MID($Y967,1,4)&lt;&gt;"Wahl")*(Deckblatt!$C$14='WK-Vorlagen'!$C$82))+(Deckblatt!$C$14&lt;&gt;'WK-Vorlagen'!$C$82),"",IF(ISERROR(MATCH(VALUE(MID(G967,1,2)),Schwierigkeitsstufen!$G$7:$G$19,0)),"Gerät falsch",LOOKUP(VALUE(MID(G967,1,2)),Schwierigkeitsstufen!$G$7:$G$19,Schwierigkeitsstufen!$H$7:$H$19)))</f>
        <v/>
      </c>
      <c r="AB967" s="250" t="str">
        <f>IF((($A967="")*($B967=""))+((MID($Y967,1,4)&lt;&gt;"Wahl")*(Deckblatt!$C$14='WK-Vorlagen'!$C$82))+(Deckblatt!$C$14&lt;&gt;'WK-Vorlagen'!$C$82),"",IF(ISERROR(MATCH(VALUE(MID(H967,1,2)),Schwierigkeitsstufen!$G$7:$G$19,0)),"Gerät falsch",LOOKUP(VALUE(MID(H967,1,2)),Schwierigkeitsstufen!$G$7:$G$19,Schwierigkeitsstufen!$H$7:$H$19)))</f>
        <v/>
      </c>
      <c r="AC967" s="250" t="str">
        <f>IF((($A967="")*($B967=""))+((MID($Y967,1,4)&lt;&gt;"Wahl")*(Deckblatt!$C$14='WK-Vorlagen'!$C$82))+(Deckblatt!$C$14&lt;&gt;'WK-Vorlagen'!$C$82),"",IF(ISERROR(MATCH(VALUE(MID(I967,1,2)),Schwierigkeitsstufen!$G$7:$G$19,0)),"Gerät falsch",LOOKUP(VALUE(MID(I967,1,2)),Schwierigkeitsstufen!$G$7:$G$19,Schwierigkeitsstufen!$H$7:$H$19)))</f>
        <v/>
      </c>
      <c r="AD967" s="251" t="str">
        <f>IF((($A967="")*($B967=""))+((MID($Y967,1,4)&lt;&gt;"Wahl")*(Deckblatt!$C$14='WK-Vorlagen'!$C$82))+(Deckblatt!$C$14&lt;&gt;'WK-Vorlagen'!$C$82),"",IF(ISERROR(MATCH(VALUE(MID(J967,1,2)),Schwierigkeitsstufen!$G$7:$G$19,0)),"Gerät falsch",LOOKUP(VALUE(MID(J967,1,2)),Schwierigkeitsstufen!$G$7:$G$19,Schwierigkeitsstufen!$H$7:$H$19)))</f>
        <v/>
      </c>
      <c r="AE967" s="211"/>
      <c r="AG967" s="221" t="str">
        <f t="shared" si="135"/>
        <v/>
      </c>
      <c r="AH967" s="222" t="str">
        <f t="shared" si="137"/>
        <v/>
      </c>
      <c r="AI967" s="220">
        <f t="shared" ref="AI967:AI999" si="142">MATCH(AH967,AH:AH,0)</f>
        <v>4</v>
      </c>
      <c r="AJ967" s="222">
        <f t="shared" si="138"/>
        <v>0</v>
      </c>
      <c r="AK967" s="299" t="str">
        <f>IF(ISERROR(LOOKUP(E967,WKNrListe,Übersicht!$R$7:$R$46)),"-",LOOKUP(E967,WKNrListe,Übersicht!$R$7:$R$46))</f>
        <v>-</v>
      </c>
      <c r="AL967" s="299" t="str">
        <f t="shared" si="141"/>
        <v>-</v>
      </c>
      <c r="AM967" s="303"/>
      <c r="AN967" s="174" t="str">
        <f t="shared" si="134"/>
        <v>Leer</v>
      </c>
    </row>
    <row r="968" spans="1:40" s="174" customFormat="1" ht="15" customHeight="1">
      <c r="A968" s="63"/>
      <c r="B968" s="63"/>
      <c r="C968" s="84"/>
      <c r="D968" s="85"/>
      <c r="E968" s="62"/>
      <c r="F968" s="62"/>
      <c r="G968" s="62"/>
      <c r="H968" s="62"/>
      <c r="I968" s="62"/>
      <c r="J968" s="62"/>
      <c r="K968" s="62"/>
      <c r="L968" s="62"/>
      <c r="M968" s="62"/>
      <c r="N968" s="62"/>
      <c r="O968" s="62"/>
      <c r="P968" s="62"/>
      <c r="Q968" s="62"/>
      <c r="R968" s="62"/>
      <c r="S968" s="258"/>
      <c r="T968" s="248" t="str">
        <f t="shared" si="139"/>
        <v/>
      </c>
      <c r="U968" s="249" t="str">
        <f t="shared" si="140"/>
        <v/>
      </c>
      <c r="V968" s="294" t="str">
        <f t="shared" si="136"/>
        <v/>
      </c>
      <c r="W968" s="294" t="str">
        <f>IF(((E968="")+(F968="")),"",IF(VLOOKUP(F968,Mannschaften!$A$1:$B$54,2,FALSE)&lt;&gt;E968,"Reiter Mannschaften füllen",""))</f>
        <v/>
      </c>
      <c r="X968" s="248" t="str">
        <f>IF(ISBLANK(C968),"",IF((U968&gt;(LOOKUP(E968,WKNrListe,Übersicht!$O$7:$O$46)))+(U968&lt;(LOOKUP(E968,WKNrListe,Übersicht!$P$7:$P$46))),"JG falsch",""))</f>
        <v/>
      </c>
      <c r="Y968" s="255" t="str">
        <f>IF((A968="")*(B968=""),"",IF(ISERROR(MATCH(E968,WKNrListe,0)),"WK falsch",LOOKUP(E968,WKNrListe,Übersicht!$B$7:$B$46)))</f>
        <v/>
      </c>
      <c r="Z968" s="269" t="str">
        <f>IF(((AJ968=0)*(AH968&lt;&gt;"")*(AK968="-"))+((AJ968&lt;&gt;0)*(AH968&lt;&gt;"")*(AK968="-")),IF(AG968="X",Übersicht!$C$70,Übersicht!$C$69),"-")</f>
        <v>-</v>
      </c>
      <c r="AA968" s="252" t="str">
        <f>IF((($A968="")*($B968=""))+((MID($Y968,1,4)&lt;&gt;"Wahl")*(Deckblatt!$C$14='WK-Vorlagen'!$C$82))+(Deckblatt!$C$14&lt;&gt;'WK-Vorlagen'!$C$82),"",IF(ISERROR(MATCH(VALUE(MID(G968,1,2)),Schwierigkeitsstufen!$G$7:$G$19,0)),"Gerät falsch",LOOKUP(VALUE(MID(G968,1,2)),Schwierigkeitsstufen!$G$7:$G$19,Schwierigkeitsstufen!$H$7:$H$19)))</f>
        <v/>
      </c>
      <c r="AB968" s="250" t="str">
        <f>IF((($A968="")*($B968=""))+((MID($Y968,1,4)&lt;&gt;"Wahl")*(Deckblatt!$C$14='WK-Vorlagen'!$C$82))+(Deckblatt!$C$14&lt;&gt;'WK-Vorlagen'!$C$82),"",IF(ISERROR(MATCH(VALUE(MID(H968,1,2)),Schwierigkeitsstufen!$G$7:$G$19,0)),"Gerät falsch",LOOKUP(VALUE(MID(H968,1,2)),Schwierigkeitsstufen!$G$7:$G$19,Schwierigkeitsstufen!$H$7:$H$19)))</f>
        <v/>
      </c>
      <c r="AC968" s="250" t="str">
        <f>IF((($A968="")*($B968=""))+((MID($Y968,1,4)&lt;&gt;"Wahl")*(Deckblatt!$C$14='WK-Vorlagen'!$C$82))+(Deckblatt!$C$14&lt;&gt;'WK-Vorlagen'!$C$82),"",IF(ISERROR(MATCH(VALUE(MID(I968,1,2)),Schwierigkeitsstufen!$G$7:$G$19,0)),"Gerät falsch",LOOKUP(VALUE(MID(I968,1,2)),Schwierigkeitsstufen!$G$7:$G$19,Schwierigkeitsstufen!$H$7:$H$19)))</f>
        <v/>
      </c>
      <c r="AD968" s="251" t="str">
        <f>IF((($A968="")*($B968=""))+((MID($Y968,1,4)&lt;&gt;"Wahl")*(Deckblatt!$C$14='WK-Vorlagen'!$C$82))+(Deckblatt!$C$14&lt;&gt;'WK-Vorlagen'!$C$82),"",IF(ISERROR(MATCH(VALUE(MID(J968,1,2)),Schwierigkeitsstufen!$G$7:$G$19,0)),"Gerät falsch",LOOKUP(VALUE(MID(J968,1,2)),Schwierigkeitsstufen!$G$7:$G$19,Schwierigkeitsstufen!$H$7:$H$19)))</f>
        <v/>
      </c>
      <c r="AE968" s="211"/>
      <c r="AG968" s="221" t="str">
        <f t="shared" si="135"/>
        <v/>
      </c>
      <c r="AH968" s="222" t="str">
        <f t="shared" si="137"/>
        <v/>
      </c>
      <c r="AI968" s="220">
        <f t="shared" si="142"/>
        <v>4</v>
      </c>
      <c r="AJ968" s="222">
        <f t="shared" si="138"/>
        <v>0</v>
      </c>
      <c r="AK968" s="299" t="str">
        <f>IF(ISERROR(LOOKUP(E968,WKNrListe,Übersicht!$R$7:$R$46)),"-",LOOKUP(E968,WKNrListe,Übersicht!$R$7:$R$46))</f>
        <v>-</v>
      </c>
      <c r="AL968" s="299" t="str">
        <f t="shared" si="141"/>
        <v>-</v>
      </c>
      <c r="AM968" s="303"/>
      <c r="AN968" s="174" t="str">
        <f t="shared" si="134"/>
        <v>Leer</v>
      </c>
    </row>
    <row r="969" spans="1:40" s="174" customFormat="1" ht="15" customHeight="1">
      <c r="A969" s="63"/>
      <c r="B969" s="63"/>
      <c r="C969" s="84"/>
      <c r="D969" s="85"/>
      <c r="E969" s="62"/>
      <c r="F969" s="62"/>
      <c r="G969" s="62"/>
      <c r="H969" s="62"/>
      <c r="I969" s="62"/>
      <c r="J969" s="62"/>
      <c r="K969" s="62"/>
      <c r="L969" s="62"/>
      <c r="M969" s="62"/>
      <c r="N969" s="62"/>
      <c r="O969" s="62"/>
      <c r="P969" s="62"/>
      <c r="Q969" s="62"/>
      <c r="R969" s="62"/>
      <c r="S969" s="258"/>
      <c r="T969" s="248" t="str">
        <f t="shared" si="139"/>
        <v/>
      </c>
      <c r="U969" s="249" t="str">
        <f t="shared" si="140"/>
        <v/>
      </c>
      <c r="V969" s="294" t="str">
        <f t="shared" si="136"/>
        <v/>
      </c>
      <c r="W969" s="294" t="str">
        <f>IF(((E969="")+(F969="")),"",IF(VLOOKUP(F969,Mannschaften!$A$1:$B$54,2,FALSE)&lt;&gt;E969,"Reiter Mannschaften füllen",""))</f>
        <v/>
      </c>
      <c r="X969" s="248" t="str">
        <f>IF(ISBLANK(C969),"",IF((U969&gt;(LOOKUP(E969,WKNrListe,Übersicht!$O$7:$O$46)))+(U969&lt;(LOOKUP(E969,WKNrListe,Übersicht!$P$7:$P$46))),"JG falsch",""))</f>
        <v/>
      </c>
      <c r="Y969" s="255" t="str">
        <f>IF((A969="")*(B969=""),"",IF(ISERROR(MATCH(E969,WKNrListe,0)),"WK falsch",LOOKUP(E969,WKNrListe,Übersicht!$B$7:$B$46)))</f>
        <v/>
      </c>
      <c r="Z969" s="269" t="str">
        <f>IF(((AJ969=0)*(AH969&lt;&gt;"")*(AK969="-"))+((AJ969&lt;&gt;0)*(AH969&lt;&gt;"")*(AK969="-")),IF(AG969="X",Übersicht!$C$70,Übersicht!$C$69),"-")</f>
        <v>-</v>
      </c>
      <c r="AA969" s="252" t="str">
        <f>IF((($A969="")*($B969=""))+((MID($Y969,1,4)&lt;&gt;"Wahl")*(Deckblatt!$C$14='WK-Vorlagen'!$C$82))+(Deckblatt!$C$14&lt;&gt;'WK-Vorlagen'!$C$82),"",IF(ISERROR(MATCH(VALUE(MID(G969,1,2)),Schwierigkeitsstufen!$G$7:$G$19,0)),"Gerät falsch",LOOKUP(VALUE(MID(G969,1,2)),Schwierigkeitsstufen!$G$7:$G$19,Schwierigkeitsstufen!$H$7:$H$19)))</f>
        <v/>
      </c>
      <c r="AB969" s="250" t="str">
        <f>IF((($A969="")*($B969=""))+((MID($Y969,1,4)&lt;&gt;"Wahl")*(Deckblatt!$C$14='WK-Vorlagen'!$C$82))+(Deckblatt!$C$14&lt;&gt;'WK-Vorlagen'!$C$82),"",IF(ISERROR(MATCH(VALUE(MID(H969,1,2)),Schwierigkeitsstufen!$G$7:$G$19,0)),"Gerät falsch",LOOKUP(VALUE(MID(H969,1,2)),Schwierigkeitsstufen!$G$7:$G$19,Schwierigkeitsstufen!$H$7:$H$19)))</f>
        <v/>
      </c>
      <c r="AC969" s="250" t="str">
        <f>IF((($A969="")*($B969=""))+((MID($Y969,1,4)&lt;&gt;"Wahl")*(Deckblatt!$C$14='WK-Vorlagen'!$C$82))+(Deckblatt!$C$14&lt;&gt;'WK-Vorlagen'!$C$82),"",IF(ISERROR(MATCH(VALUE(MID(I969,1,2)),Schwierigkeitsstufen!$G$7:$G$19,0)),"Gerät falsch",LOOKUP(VALUE(MID(I969,1,2)),Schwierigkeitsstufen!$G$7:$G$19,Schwierigkeitsstufen!$H$7:$H$19)))</f>
        <v/>
      </c>
      <c r="AD969" s="251" t="str">
        <f>IF((($A969="")*($B969=""))+((MID($Y969,1,4)&lt;&gt;"Wahl")*(Deckblatt!$C$14='WK-Vorlagen'!$C$82))+(Deckblatt!$C$14&lt;&gt;'WK-Vorlagen'!$C$82),"",IF(ISERROR(MATCH(VALUE(MID(J969,1,2)),Schwierigkeitsstufen!$G$7:$G$19,0)),"Gerät falsch",LOOKUP(VALUE(MID(J969,1,2)),Schwierigkeitsstufen!$G$7:$G$19,Schwierigkeitsstufen!$H$7:$H$19)))</f>
        <v/>
      </c>
      <c r="AE969" s="211"/>
      <c r="AG969" s="221" t="str">
        <f t="shared" si="135"/>
        <v/>
      </c>
      <c r="AH969" s="222" t="str">
        <f t="shared" si="137"/>
        <v/>
      </c>
      <c r="AI969" s="220">
        <f t="shared" si="142"/>
        <v>4</v>
      </c>
      <c r="AJ969" s="222">
        <f t="shared" si="138"/>
        <v>0</v>
      </c>
      <c r="AK969" s="299" t="str">
        <f>IF(ISERROR(LOOKUP(E969,WKNrListe,Übersicht!$R$7:$R$46)),"-",LOOKUP(E969,WKNrListe,Übersicht!$R$7:$R$46))</f>
        <v>-</v>
      </c>
      <c r="AL969" s="299" t="str">
        <f t="shared" si="141"/>
        <v>-</v>
      </c>
      <c r="AM969" s="303"/>
      <c r="AN969" s="174" t="str">
        <f t="shared" si="134"/>
        <v>Leer</v>
      </c>
    </row>
    <row r="970" spans="1:40" s="174" customFormat="1" ht="15" customHeight="1">
      <c r="A970" s="63"/>
      <c r="B970" s="63"/>
      <c r="C970" s="84"/>
      <c r="D970" s="85"/>
      <c r="E970" s="62"/>
      <c r="F970" s="62"/>
      <c r="G970" s="62"/>
      <c r="H970" s="62"/>
      <c r="I970" s="62"/>
      <c r="J970" s="62"/>
      <c r="K970" s="62"/>
      <c r="L970" s="62"/>
      <c r="M970" s="62"/>
      <c r="N970" s="62"/>
      <c r="O970" s="62"/>
      <c r="P970" s="62"/>
      <c r="Q970" s="62"/>
      <c r="R970" s="62"/>
      <c r="S970" s="258"/>
      <c r="T970" s="248" t="str">
        <f t="shared" si="139"/>
        <v/>
      </c>
      <c r="U970" s="249" t="str">
        <f t="shared" si="140"/>
        <v/>
      </c>
      <c r="V970" s="294" t="str">
        <f t="shared" si="136"/>
        <v/>
      </c>
      <c r="W970" s="294" t="str">
        <f>IF(((E970="")+(F970="")),"",IF(VLOOKUP(F970,Mannschaften!$A$1:$B$54,2,FALSE)&lt;&gt;E970,"Reiter Mannschaften füllen",""))</f>
        <v/>
      </c>
      <c r="X970" s="248" t="str">
        <f>IF(ISBLANK(C970),"",IF((U970&gt;(LOOKUP(E970,WKNrListe,Übersicht!$O$7:$O$46)))+(U970&lt;(LOOKUP(E970,WKNrListe,Übersicht!$P$7:$P$46))),"JG falsch",""))</f>
        <v/>
      </c>
      <c r="Y970" s="255" t="str">
        <f>IF((A970="")*(B970=""),"",IF(ISERROR(MATCH(E970,WKNrListe,0)),"WK falsch",LOOKUP(E970,WKNrListe,Übersicht!$B$7:$B$46)))</f>
        <v/>
      </c>
      <c r="Z970" s="269" t="str">
        <f>IF(((AJ970=0)*(AH970&lt;&gt;"")*(AK970="-"))+((AJ970&lt;&gt;0)*(AH970&lt;&gt;"")*(AK970="-")),IF(AG970="X",Übersicht!$C$70,Übersicht!$C$69),"-")</f>
        <v>-</v>
      </c>
      <c r="AA970" s="252" t="str">
        <f>IF((($A970="")*($B970=""))+((MID($Y970,1,4)&lt;&gt;"Wahl")*(Deckblatt!$C$14='WK-Vorlagen'!$C$82))+(Deckblatt!$C$14&lt;&gt;'WK-Vorlagen'!$C$82),"",IF(ISERROR(MATCH(VALUE(MID(G970,1,2)),Schwierigkeitsstufen!$G$7:$G$19,0)),"Gerät falsch",LOOKUP(VALUE(MID(G970,1,2)),Schwierigkeitsstufen!$G$7:$G$19,Schwierigkeitsstufen!$H$7:$H$19)))</f>
        <v/>
      </c>
      <c r="AB970" s="250" t="str">
        <f>IF((($A970="")*($B970=""))+((MID($Y970,1,4)&lt;&gt;"Wahl")*(Deckblatt!$C$14='WK-Vorlagen'!$C$82))+(Deckblatt!$C$14&lt;&gt;'WK-Vorlagen'!$C$82),"",IF(ISERROR(MATCH(VALUE(MID(H970,1,2)),Schwierigkeitsstufen!$G$7:$G$19,0)),"Gerät falsch",LOOKUP(VALUE(MID(H970,1,2)),Schwierigkeitsstufen!$G$7:$G$19,Schwierigkeitsstufen!$H$7:$H$19)))</f>
        <v/>
      </c>
      <c r="AC970" s="250" t="str">
        <f>IF((($A970="")*($B970=""))+((MID($Y970,1,4)&lt;&gt;"Wahl")*(Deckblatt!$C$14='WK-Vorlagen'!$C$82))+(Deckblatt!$C$14&lt;&gt;'WK-Vorlagen'!$C$82),"",IF(ISERROR(MATCH(VALUE(MID(I970,1,2)),Schwierigkeitsstufen!$G$7:$G$19,0)),"Gerät falsch",LOOKUP(VALUE(MID(I970,1,2)),Schwierigkeitsstufen!$G$7:$G$19,Schwierigkeitsstufen!$H$7:$H$19)))</f>
        <v/>
      </c>
      <c r="AD970" s="251" t="str">
        <f>IF((($A970="")*($B970=""))+((MID($Y970,1,4)&lt;&gt;"Wahl")*(Deckblatt!$C$14='WK-Vorlagen'!$C$82))+(Deckblatt!$C$14&lt;&gt;'WK-Vorlagen'!$C$82),"",IF(ISERROR(MATCH(VALUE(MID(J970,1,2)),Schwierigkeitsstufen!$G$7:$G$19,0)),"Gerät falsch",LOOKUP(VALUE(MID(J970,1,2)),Schwierigkeitsstufen!$G$7:$G$19,Schwierigkeitsstufen!$H$7:$H$19)))</f>
        <v/>
      </c>
      <c r="AE970" s="211"/>
      <c r="AG970" s="221" t="str">
        <f t="shared" si="135"/>
        <v/>
      </c>
      <c r="AH970" s="222" t="str">
        <f t="shared" si="137"/>
        <v/>
      </c>
      <c r="AI970" s="220">
        <f t="shared" si="142"/>
        <v>4</v>
      </c>
      <c r="AJ970" s="222">
        <f t="shared" si="138"/>
        <v>0</v>
      </c>
      <c r="AK970" s="299" t="str">
        <f>IF(ISERROR(LOOKUP(E970,WKNrListe,Übersicht!$R$7:$R$46)),"-",LOOKUP(E970,WKNrListe,Übersicht!$R$7:$R$46))</f>
        <v>-</v>
      </c>
      <c r="AL970" s="299" t="str">
        <f t="shared" si="141"/>
        <v>-</v>
      </c>
      <c r="AM970" s="303"/>
      <c r="AN970" s="174" t="str">
        <f t="shared" si="134"/>
        <v>Leer</v>
      </c>
    </row>
    <row r="971" spans="1:40" s="174" customFormat="1" ht="15" customHeight="1">
      <c r="A971" s="63"/>
      <c r="B971" s="63"/>
      <c r="C971" s="84"/>
      <c r="D971" s="85"/>
      <c r="E971" s="62"/>
      <c r="F971" s="62"/>
      <c r="G971" s="62"/>
      <c r="H971" s="62"/>
      <c r="I971" s="62"/>
      <c r="J971" s="62"/>
      <c r="K971" s="62"/>
      <c r="L971" s="62"/>
      <c r="M971" s="62"/>
      <c r="N971" s="62"/>
      <c r="O971" s="62"/>
      <c r="P971" s="62"/>
      <c r="Q971" s="62"/>
      <c r="R971" s="62"/>
      <c r="S971" s="258"/>
      <c r="T971" s="248" t="str">
        <f t="shared" si="139"/>
        <v/>
      </c>
      <c r="U971" s="249" t="str">
        <f t="shared" si="140"/>
        <v/>
      </c>
      <c r="V971" s="294" t="str">
        <f t="shared" si="136"/>
        <v/>
      </c>
      <c r="W971" s="294" t="str">
        <f>IF(((E971="")+(F971="")),"",IF(VLOOKUP(F971,Mannschaften!$A$1:$B$54,2,FALSE)&lt;&gt;E971,"Reiter Mannschaften füllen",""))</f>
        <v/>
      </c>
      <c r="X971" s="248" t="str">
        <f>IF(ISBLANK(C971),"",IF((U971&gt;(LOOKUP(E971,WKNrListe,Übersicht!$O$7:$O$46)))+(U971&lt;(LOOKUP(E971,WKNrListe,Übersicht!$P$7:$P$46))),"JG falsch",""))</f>
        <v/>
      </c>
      <c r="Y971" s="255" t="str">
        <f>IF((A971="")*(B971=""),"",IF(ISERROR(MATCH(E971,WKNrListe,0)),"WK falsch",LOOKUP(E971,WKNrListe,Übersicht!$B$7:$B$46)))</f>
        <v/>
      </c>
      <c r="Z971" s="269" t="str">
        <f>IF(((AJ971=0)*(AH971&lt;&gt;"")*(AK971="-"))+((AJ971&lt;&gt;0)*(AH971&lt;&gt;"")*(AK971="-")),IF(AG971="X",Übersicht!$C$70,Übersicht!$C$69),"-")</f>
        <v>-</v>
      </c>
      <c r="AA971" s="252" t="str">
        <f>IF((($A971="")*($B971=""))+((MID($Y971,1,4)&lt;&gt;"Wahl")*(Deckblatt!$C$14='WK-Vorlagen'!$C$82))+(Deckblatt!$C$14&lt;&gt;'WK-Vorlagen'!$C$82),"",IF(ISERROR(MATCH(VALUE(MID(G971,1,2)),Schwierigkeitsstufen!$G$7:$G$19,0)),"Gerät falsch",LOOKUP(VALUE(MID(G971,1,2)),Schwierigkeitsstufen!$G$7:$G$19,Schwierigkeitsstufen!$H$7:$H$19)))</f>
        <v/>
      </c>
      <c r="AB971" s="250" t="str">
        <f>IF((($A971="")*($B971=""))+((MID($Y971,1,4)&lt;&gt;"Wahl")*(Deckblatt!$C$14='WK-Vorlagen'!$C$82))+(Deckblatt!$C$14&lt;&gt;'WK-Vorlagen'!$C$82),"",IF(ISERROR(MATCH(VALUE(MID(H971,1,2)),Schwierigkeitsstufen!$G$7:$G$19,0)),"Gerät falsch",LOOKUP(VALUE(MID(H971,1,2)),Schwierigkeitsstufen!$G$7:$G$19,Schwierigkeitsstufen!$H$7:$H$19)))</f>
        <v/>
      </c>
      <c r="AC971" s="250" t="str">
        <f>IF((($A971="")*($B971=""))+((MID($Y971,1,4)&lt;&gt;"Wahl")*(Deckblatt!$C$14='WK-Vorlagen'!$C$82))+(Deckblatt!$C$14&lt;&gt;'WK-Vorlagen'!$C$82),"",IF(ISERROR(MATCH(VALUE(MID(I971,1,2)),Schwierigkeitsstufen!$G$7:$G$19,0)),"Gerät falsch",LOOKUP(VALUE(MID(I971,1,2)),Schwierigkeitsstufen!$G$7:$G$19,Schwierigkeitsstufen!$H$7:$H$19)))</f>
        <v/>
      </c>
      <c r="AD971" s="251" t="str">
        <f>IF((($A971="")*($B971=""))+((MID($Y971,1,4)&lt;&gt;"Wahl")*(Deckblatt!$C$14='WK-Vorlagen'!$C$82))+(Deckblatt!$C$14&lt;&gt;'WK-Vorlagen'!$C$82),"",IF(ISERROR(MATCH(VALUE(MID(J971,1,2)),Schwierigkeitsstufen!$G$7:$G$19,0)),"Gerät falsch",LOOKUP(VALUE(MID(J971,1,2)),Schwierigkeitsstufen!$G$7:$G$19,Schwierigkeitsstufen!$H$7:$H$19)))</f>
        <v/>
      </c>
      <c r="AE971" s="211"/>
      <c r="AG971" s="221" t="str">
        <f t="shared" si="135"/>
        <v/>
      </c>
      <c r="AH971" s="222" t="str">
        <f t="shared" si="137"/>
        <v/>
      </c>
      <c r="AI971" s="220">
        <f t="shared" si="142"/>
        <v>4</v>
      </c>
      <c r="AJ971" s="222">
        <f t="shared" si="138"/>
        <v>0</v>
      </c>
      <c r="AK971" s="299" t="str">
        <f>IF(ISERROR(LOOKUP(E971,WKNrListe,Übersicht!$R$7:$R$46)),"-",LOOKUP(E971,WKNrListe,Übersicht!$R$7:$R$46))</f>
        <v>-</v>
      </c>
      <c r="AL971" s="299" t="str">
        <f t="shared" si="141"/>
        <v>-</v>
      </c>
      <c r="AM971" s="303"/>
      <c r="AN971" s="174" t="str">
        <f t="shared" si="134"/>
        <v>Leer</v>
      </c>
    </row>
    <row r="972" spans="1:40" s="174" customFormat="1" ht="15" customHeight="1">
      <c r="A972" s="63"/>
      <c r="B972" s="63"/>
      <c r="C972" s="84"/>
      <c r="D972" s="85"/>
      <c r="E972" s="62"/>
      <c r="F972" s="62"/>
      <c r="G972" s="62"/>
      <c r="H972" s="62"/>
      <c r="I972" s="62"/>
      <c r="J972" s="62"/>
      <c r="K972" s="62"/>
      <c r="L972" s="62"/>
      <c r="M972" s="62"/>
      <c r="N972" s="62"/>
      <c r="O972" s="62"/>
      <c r="P972" s="62"/>
      <c r="Q972" s="62"/>
      <c r="R972" s="62"/>
      <c r="S972" s="258"/>
      <c r="T972" s="248" t="str">
        <f t="shared" si="139"/>
        <v/>
      </c>
      <c r="U972" s="249" t="str">
        <f t="shared" si="140"/>
        <v/>
      </c>
      <c r="V972" s="294" t="str">
        <f t="shared" si="136"/>
        <v/>
      </c>
      <c r="W972" s="294" t="str">
        <f>IF(((E972="")+(F972="")),"",IF(VLOOKUP(F972,Mannschaften!$A$1:$B$54,2,FALSE)&lt;&gt;E972,"Reiter Mannschaften füllen",""))</f>
        <v/>
      </c>
      <c r="X972" s="248" t="str">
        <f>IF(ISBLANK(C972),"",IF((U972&gt;(LOOKUP(E972,WKNrListe,Übersicht!$O$7:$O$46)))+(U972&lt;(LOOKUP(E972,WKNrListe,Übersicht!$P$7:$P$46))),"JG falsch",""))</f>
        <v/>
      </c>
      <c r="Y972" s="255" t="str">
        <f>IF((A972="")*(B972=""),"",IF(ISERROR(MATCH(E972,WKNrListe,0)),"WK falsch",LOOKUP(E972,WKNrListe,Übersicht!$B$7:$B$46)))</f>
        <v/>
      </c>
      <c r="Z972" s="269" t="str">
        <f>IF(((AJ972=0)*(AH972&lt;&gt;"")*(AK972="-"))+((AJ972&lt;&gt;0)*(AH972&lt;&gt;"")*(AK972="-")),IF(AG972="X",Übersicht!$C$70,Übersicht!$C$69),"-")</f>
        <v>-</v>
      </c>
      <c r="AA972" s="252" t="str">
        <f>IF((($A972="")*($B972=""))+((MID($Y972,1,4)&lt;&gt;"Wahl")*(Deckblatt!$C$14='WK-Vorlagen'!$C$82))+(Deckblatt!$C$14&lt;&gt;'WK-Vorlagen'!$C$82),"",IF(ISERROR(MATCH(VALUE(MID(G972,1,2)),Schwierigkeitsstufen!$G$7:$G$19,0)),"Gerät falsch",LOOKUP(VALUE(MID(G972,1,2)),Schwierigkeitsstufen!$G$7:$G$19,Schwierigkeitsstufen!$H$7:$H$19)))</f>
        <v/>
      </c>
      <c r="AB972" s="250" t="str">
        <f>IF((($A972="")*($B972=""))+((MID($Y972,1,4)&lt;&gt;"Wahl")*(Deckblatt!$C$14='WK-Vorlagen'!$C$82))+(Deckblatt!$C$14&lt;&gt;'WK-Vorlagen'!$C$82),"",IF(ISERROR(MATCH(VALUE(MID(H972,1,2)),Schwierigkeitsstufen!$G$7:$G$19,0)),"Gerät falsch",LOOKUP(VALUE(MID(H972,1,2)),Schwierigkeitsstufen!$G$7:$G$19,Schwierigkeitsstufen!$H$7:$H$19)))</f>
        <v/>
      </c>
      <c r="AC972" s="250" t="str">
        <f>IF((($A972="")*($B972=""))+((MID($Y972,1,4)&lt;&gt;"Wahl")*(Deckblatt!$C$14='WK-Vorlagen'!$C$82))+(Deckblatt!$C$14&lt;&gt;'WK-Vorlagen'!$C$82),"",IF(ISERROR(MATCH(VALUE(MID(I972,1,2)),Schwierigkeitsstufen!$G$7:$G$19,0)),"Gerät falsch",LOOKUP(VALUE(MID(I972,1,2)),Schwierigkeitsstufen!$G$7:$G$19,Schwierigkeitsstufen!$H$7:$H$19)))</f>
        <v/>
      </c>
      <c r="AD972" s="251" t="str">
        <f>IF((($A972="")*($B972=""))+((MID($Y972,1,4)&lt;&gt;"Wahl")*(Deckblatt!$C$14='WK-Vorlagen'!$C$82))+(Deckblatt!$C$14&lt;&gt;'WK-Vorlagen'!$C$82),"",IF(ISERROR(MATCH(VALUE(MID(J972,1,2)),Schwierigkeitsstufen!$G$7:$G$19,0)),"Gerät falsch",LOOKUP(VALUE(MID(J972,1,2)),Schwierigkeitsstufen!$G$7:$G$19,Schwierigkeitsstufen!$H$7:$H$19)))</f>
        <v/>
      </c>
      <c r="AE972" s="211"/>
      <c r="AG972" s="221" t="str">
        <f t="shared" si="135"/>
        <v/>
      </c>
      <c r="AH972" s="222" t="str">
        <f t="shared" si="137"/>
        <v/>
      </c>
      <c r="AI972" s="220">
        <f t="shared" si="142"/>
        <v>4</v>
      </c>
      <c r="AJ972" s="222">
        <f t="shared" si="138"/>
        <v>0</v>
      </c>
      <c r="AK972" s="299" t="str">
        <f>IF(ISERROR(LOOKUP(E972,WKNrListe,Übersicht!$R$7:$R$46)),"-",LOOKUP(E972,WKNrListe,Übersicht!$R$7:$R$46))</f>
        <v>-</v>
      </c>
      <c r="AL972" s="299" t="str">
        <f t="shared" si="141"/>
        <v>-</v>
      </c>
      <c r="AM972" s="303"/>
      <c r="AN972" s="174" t="str">
        <f t="shared" si="134"/>
        <v>Leer</v>
      </c>
    </row>
    <row r="973" spans="1:40" s="174" customFormat="1" ht="15" customHeight="1">
      <c r="A973" s="63"/>
      <c r="B973" s="63"/>
      <c r="C973" s="84"/>
      <c r="D973" s="85"/>
      <c r="E973" s="62"/>
      <c r="F973" s="62"/>
      <c r="G973" s="62"/>
      <c r="H973" s="62"/>
      <c r="I973" s="62"/>
      <c r="J973" s="62"/>
      <c r="K973" s="62"/>
      <c r="L973" s="62"/>
      <c r="M973" s="62"/>
      <c r="N973" s="62"/>
      <c r="O973" s="62"/>
      <c r="P973" s="62"/>
      <c r="Q973" s="62"/>
      <c r="R973" s="62"/>
      <c r="S973" s="258"/>
      <c r="T973" s="248" t="str">
        <f t="shared" si="139"/>
        <v/>
      </c>
      <c r="U973" s="249" t="str">
        <f t="shared" si="140"/>
        <v/>
      </c>
      <c r="V973" s="294" t="str">
        <f t="shared" si="136"/>
        <v/>
      </c>
      <c r="W973" s="294" t="str">
        <f>IF(((E973="")+(F973="")),"",IF(VLOOKUP(F973,Mannschaften!$A$1:$B$54,2,FALSE)&lt;&gt;E973,"Reiter Mannschaften füllen",""))</f>
        <v/>
      </c>
      <c r="X973" s="248" t="str">
        <f>IF(ISBLANK(C973),"",IF((U973&gt;(LOOKUP(E973,WKNrListe,Übersicht!$O$7:$O$46)))+(U973&lt;(LOOKUP(E973,WKNrListe,Übersicht!$P$7:$P$46))),"JG falsch",""))</f>
        <v/>
      </c>
      <c r="Y973" s="255" t="str">
        <f>IF((A973="")*(B973=""),"",IF(ISERROR(MATCH(E973,WKNrListe,0)),"WK falsch",LOOKUP(E973,WKNrListe,Übersicht!$B$7:$B$46)))</f>
        <v/>
      </c>
      <c r="Z973" s="269" t="str">
        <f>IF(((AJ973=0)*(AH973&lt;&gt;"")*(AK973="-"))+((AJ973&lt;&gt;0)*(AH973&lt;&gt;"")*(AK973="-")),IF(AG973="X",Übersicht!$C$70,Übersicht!$C$69),"-")</f>
        <v>-</v>
      </c>
      <c r="AA973" s="252" t="str">
        <f>IF((($A973="")*($B973=""))+((MID($Y973,1,4)&lt;&gt;"Wahl")*(Deckblatt!$C$14='WK-Vorlagen'!$C$82))+(Deckblatt!$C$14&lt;&gt;'WK-Vorlagen'!$C$82),"",IF(ISERROR(MATCH(VALUE(MID(G973,1,2)),Schwierigkeitsstufen!$G$7:$G$19,0)),"Gerät falsch",LOOKUP(VALUE(MID(G973,1,2)),Schwierigkeitsstufen!$G$7:$G$19,Schwierigkeitsstufen!$H$7:$H$19)))</f>
        <v/>
      </c>
      <c r="AB973" s="250" t="str">
        <f>IF((($A973="")*($B973=""))+((MID($Y973,1,4)&lt;&gt;"Wahl")*(Deckblatt!$C$14='WK-Vorlagen'!$C$82))+(Deckblatt!$C$14&lt;&gt;'WK-Vorlagen'!$C$82),"",IF(ISERROR(MATCH(VALUE(MID(H973,1,2)),Schwierigkeitsstufen!$G$7:$G$19,0)),"Gerät falsch",LOOKUP(VALUE(MID(H973,1,2)),Schwierigkeitsstufen!$G$7:$G$19,Schwierigkeitsstufen!$H$7:$H$19)))</f>
        <v/>
      </c>
      <c r="AC973" s="250" t="str">
        <f>IF((($A973="")*($B973=""))+((MID($Y973,1,4)&lt;&gt;"Wahl")*(Deckblatt!$C$14='WK-Vorlagen'!$C$82))+(Deckblatt!$C$14&lt;&gt;'WK-Vorlagen'!$C$82),"",IF(ISERROR(MATCH(VALUE(MID(I973,1,2)),Schwierigkeitsstufen!$G$7:$G$19,0)),"Gerät falsch",LOOKUP(VALUE(MID(I973,1,2)),Schwierigkeitsstufen!$G$7:$G$19,Schwierigkeitsstufen!$H$7:$H$19)))</f>
        <v/>
      </c>
      <c r="AD973" s="251" t="str">
        <f>IF((($A973="")*($B973=""))+((MID($Y973,1,4)&lt;&gt;"Wahl")*(Deckblatt!$C$14='WK-Vorlagen'!$C$82))+(Deckblatt!$C$14&lt;&gt;'WK-Vorlagen'!$C$82),"",IF(ISERROR(MATCH(VALUE(MID(J973,1,2)),Schwierigkeitsstufen!$G$7:$G$19,0)),"Gerät falsch",LOOKUP(VALUE(MID(J973,1,2)),Schwierigkeitsstufen!$G$7:$G$19,Schwierigkeitsstufen!$H$7:$H$19)))</f>
        <v/>
      </c>
      <c r="AE973" s="211"/>
      <c r="AG973" s="221" t="str">
        <f t="shared" si="135"/>
        <v/>
      </c>
      <c r="AH973" s="222" t="str">
        <f t="shared" si="137"/>
        <v/>
      </c>
      <c r="AI973" s="220">
        <f t="shared" si="142"/>
        <v>4</v>
      </c>
      <c r="AJ973" s="222">
        <f t="shared" si="138"/>
        <v>0</v>
      </c>
      <c r="AK973" s="299" t="str">
        <f>IF(ISERROR(LOOKUP(E973,WKNrListe,Übersicht!$R$7:$R$46)),"-",LOOKUP(E973,WKNrListe,Übersicht!$R$7:$R$46))</f>
        <v>-</v>
      </c>
      <c r="AL973" s="299" t="str">
        <f t="shared" si="141"/>
        <v>-</v>
      </c>
      <c r="AM973" s="303"/>
      <c r="AN973" s="174" t="str">
        <f t="shared" si="134"/>
        <v>Leer</v>
      </c>
    </row>
    <row r="974" spans="1:40" s="174" customFormat="1" ht="15" customHeight="1">
      <c r="A974" s="63"/>
      <c r="B974" s="63"/>
      <c r="C974" s="84"/>
      <c r="D974" s="85"/>
      <c r="E974" s="62"/>
      <c r="F974" s="62"/>
      <c r="G974" s="62"/>
      <c r="H974" s="62"/>
      <c r="I974" s="62"/>
      <c r="J974" s="62"/>
      <c r="K974" s="62"/>
      <c r="L974" s="62"/>
      <c r="M974" s="62"/>
      <c r="N974" s="62"/>
      <c r="O974" s="62"/>
      <c r="P974" s="62"/>
      <c r="Q974" s="62"/>
      <c r="R974" s="62"/>
      <c r="S974" s="258"/>
      <c r="T974" s="248" t="str">
        <f t="shared" si="139"/>
        <v/>
      </c>
      <c r="U974" s="249" t="str">
        <f t="shared" si="140"/>
        <v/>
      </c>
      <c r="V974" s="294" t="str">
        <f t="shared" si="136"/>
        <v/>
      </c>
      <c r="W974" s="294" t="str">
        <f>IF(((E974="")+(F974="")),"",IF(VLOOKUP(F974,Mannschaften!$A$1:$B$54,2,FALSE)&lt;&gt;E974,"Reiter Mannschaften füllen",""))</f>
        <v/>
      </c>
      <c r="X974" s="248" t="str">
        <f>IF(ISBLANK(C974),"",IF((U974&gt;(LOOKUP(E974,WKNrListe,Übersicht!$O$7:$O$46)))+(U974&lt;(LOOKUP(E974,WKNrListe,Übersicht!$P$7:$P$46))),"JG falsch",""))</f>
        <v/>
      </c>
      <c r="Y974" s="255" t="str">
        <f>IF((A974="")*(B974=""),"",IF(ISERROR(MATCH(E974,WKNrListe,0)),"WK falsch",LOOKUP(E974,WKNrListe,Übersicht!$B$7:$B$46)))</f>
        <v/>
      </c>
      <c r="Z974" s="269" t="str">
        <f>IF(((AJ974=0)*(AH974&lt;&gt;"")*(AK974="-"))+((AJ974&lt;&gt;0)*(AH974&lt;&gt;"")*(AK974="-")),IF(AG974="X",Übersicht!$C$70,Übersicht!$C$69),"-")</f>
        <v>-</v>
      </c>
      <c r="AA974" s="252" t="str">
        <f>IF((($A974="")*($B974=""))+((MID($Y974,1,4)&lt;&gt;"Wahl")*(Deckblatt!$C$14='WK-Vorlagen'!$C$82))+(Deckblatt!$C$14&lt;&gt;'WK-Vorlagen'!$C$82),"",IF(ISERROR(MATCH(VALUE(MID(G974,1,2)),Schwierigkeitsstufen!$G$7:$G$19,0)),"Gerät falsch",LOOKUP(VALUE(MID(G974,1,2)),Schwierigkeitsstufen!$G$7:$G$19,Schwierigkeitsstufen!$H$7:$H$19)))</f>
        <v/>
      </c>
      <c r="AB974" s="250" t="str">
        <f>IF((($A974="")*($B974=""))+((MID($Y974,1,4)&lt;&gt;"Wahl")*(Deckblatt!$C$14='WK-Vorlagen'!$C$82))+(Deckblatt!$C$14&lt;&gt;'WK-Vorlagen'!$C$82),"",IF(ISERROR(MATCH(VALUE(MID(H974,1,2)),Schwierigkeitsstufen!$G$7:$G$19,0)),"Gerät falsch",LOOKUP(VALUE(MID(H974,1,2)),Schwierigkeitsstufen!$G$7:$G$19,Schwierigkeitsstufen!$H$7:$H$19)))</f>
        <v/>
      </c>
      <c r="AC974" s="250" t="str">
        <f>IF((($A974="")*($B974=""))+((MID($Y974,1,4)&lt;&gt;"Wahl")*(Deckblatt!$C$14='WK-Vorlagen'!$C$82))+(Deckblatt!$C$14&lt;&gt;'WK-Vorlagen'!$C$82),"",IF(ISERROR(MATCH(VALUE(MID(I974,1,2)),Schwierigkeitsstufen!$G$7:$G$19,0)),"Gerät falsch",LOOKUP(VALUE(MID(I974,1,2)),Schwierigkeitsstufen!$G$7:$G$19,Schwierigkeitsstufen!$H$7:$H$19)))</f>
        <v/>
      </c>
      <c r="AD974" s="251" t="str">
        <f>IF((($A974="")*($B974=""))+((MID($Y974,1,4)&lt;&gt;"Wahl")*(Deckblatt!$C$14='WK-Vorlagen'!$C$82))+(Deckblatt!$C$14&lt;&gt;'WK-Vorlagen'!$C$82),"",IF(ISERROR(MATCH(VALUE(MID(J974,1,2)),Schwierigkeitsstufen!$G$7:$G$19,0)),"Gerät falsch",LOOKUP(VALUE(MID(J974,1,2)),Schwierigkeitsstufen!$G$7:$G$19,Schwierigkeitsstufen!$H$7:$H$19)))</f>
        <v/>
      </c>
      <c r="AE974" s="211"/>
      <c r="AG974" s="221" t="str">
        <f t="shared" si="135"/>
        <v/>
      </c>
      <c r="AH974" s="222" t="str">
        <f t="shared" si="137"/>
        <v/>
      </c>
      <c r="AI974" s="220">
        <f t="shared" si="142"/>
        <v>4</v>
      </c>
      <c r="AJ974" s="222">
        <f t="shared" si="138"/>
        <v>0</v>
      </c>
      <c r="AK974" s="299" t="str">
        <f>IF(ISERROR(LOOKUP(E974,WKNrListe,Übersicht!$R$7:$R$46)),"-",LOOKUP(E974,WKNrListe,Übersicht!$R$7:$R$46))</f>
        <v>-</v>
      </c>
      <c r="AL974" s="299" t="str">
        <f t="shared" si="141"/>
        <v>-</v>
      </c>
      <c r="AM974" s="303"/>
      <c r="AN974" s="174" t="str">
        <f t="shared" si="134"/>
        <v>Leer</v>
      </c>
    </row>
    <row r="975" spans="1:40" s="174" customFormat="1" ht="15" customHeight="1">
      <c r="A975" s="63"/>
      <c r="B975" s="63"/>
      <c r="C975" s="84"/>
      <c r="D975" s="85"/>
      <c r="E975" s="62"/>
      <c r="F975" s="62"/>
      <c r="G975" s="62"/>
      <c r="H975" s="62"/>
      <c r="I975" s="62"/>
      <c r="J975" s="62"/>
      <c r="K975" s="62"/>
      <c r="L975" s="62"/>
      <c r="M975" s="62"/>
      <c r="N975" s="62"/>
      <c r="O975" s="62"/>
      <c r="P975" s="62"/>
      <c r="Q975" s="62"/>
      <c r="R975" s="62"/>
      <c r="S975" s="258"/>
      <c r="T975" s="248" t="str">
        <f t="shared" si="139"/>
        <v/>
      </c>
      <c r="U975" s="249" t="str">
        <f t="shared" si="140"/>
        <v/>
      </c>
      <c r="V975" s="294" t="str">
        <f t="shared" si="136"/>
        <v/>
      </c>
      <c r="W975" s="294" t="str">
        <f>IF(((E975="")+(F975="")),"",IF(VLOOKUP(F975,Mannschaften!$A$1:$B$54,2,FALSE)&lt;&gt;E975,"Reiter Mannschaften füllen",""))</f>
        <v/>
      </c>
      <c r="X975" s="248" t="str">
        <f>IF(ISBLANK(C975),"",IF((U975&gt;(LOOKUP(E975,WKNrListe,Übersicht!$O$7:$O$46)))+(U975&lt;(LOOKUP(E975,WKNrListe,Übersicht!$P$7:$P$46))),"JG falsch",""))</f>
        <v/>
      </c>
      <c r="Y975" s="255" t="str">
        <f>IF((A975="")*(B975=""),"",IF(ISERROR(MATCH(E975,WKNrListe,0)),"WK falsch",LOOKUP(E975,WKNrListe,Übersicht!$B$7:$B$46)))</f>
        <v/>
      </c>
      <c r="Z975" s="269" t="str">
        <f>IF(((AJ975=0)*(AH975&lt;&gt;"")*(AK975="-"))+((AJ975&lt;&gt;0)*(AH975&lt;&gt;"")*(AK975="-")),IF(AG975="X",Übersicht!$C$70,Übersicht!$C$69),"-")</f>
        <v>-</v>
      </c>
      <c r="AA975" s="252" t="str">
        <f>IF((($A975="")*($B975=""))+((MID($Y975,1,4)&lt;&gt;"Wahl")*(Deckblatt!$C$14='WK-Vorlagen'!$C$82))+(Deckblatt!$C$14&lt;&gt;'WK-Vorlagen'!$C$82),"",IF(ISERROR(MATCH(VALUE(MID(G975,1,2)),Schwierigkeitsstufen!$G$7:$G$19,0)),"Gerät falsch",LOOKUP(VALUE(MID(G975,1,2)),Schwierigkeitsstufen!$G$7:$G$19,Schwierigkeitsstufen!$H$7:$H$19)))</f>
        <v/>
      </c>
      <c r="AB975" s="250" t="str">
        <f>IF((($A975="")*($B975=""))+((MID($Y975,1,4)&lt;&gt;"Wahl")*(Deckblatt!$C$14='WK-Vorlagen'!$C$82))+(Deckblatt!$C$14&lt;&gt;'WK-Vorlagen'!$C$82),"",IF(ISERROR(MATCH(VALUE(MID(H975,1,2)),Schwierigkeitsstufen!$G$7:$G$19,0)),"Gerät falsch",LOOKUP(VALUE(MID(H975,1,2)),Schwierigkeitsstufen!$G$7:$G$19,Schwierigkeitsstufen!$H$7:$H$19)))</f>
        <v/>
      </c>
      <c r="AC975" s="250" t="str">
        <f>IF((($A975="")*($B975=""))+((MID($Y975,1,4)&lt;&gt;"Wahl")*(Deckblatt!$C$14='WK-Vorlagen'!$C$82))+(Deckblatt!$C$14&lt;&gt;'WK-Vorlagen'!$C$82),"",IF(ISERROR(MATCH(VALUE(MID(I975,1,2)),Schwierigkeitsstufen!$G$7:$G$19,0)),"Gerät falsch",LOOKUP(VALUE(MID(I975,1,2)),Schwierigkeitsstufen!$G$7:$G$19,Schwierigkeitsstufen!$H$7:$H$19)))</f>
        <v/>
      </c>
      <c r="AD975" s="251" t="str">
        <f>IF((($A975="")*($B975=""))+((MID($Y975,1,4)&lt;&gt;"Wahl")*(Deckblatt!$C$14='WK-Vorlagen'!$C$82))+(Deckblatt!$C$14&lt;&gt;'WK-Vorlagen'!$C$82),"",IF(ISERROR(MATCH(VALUE(MID(J975,1,2)),Schwierigkeitsstufen!$G$7:$G$19,0)),"Gerät falsch",LOOKUP(VALUE(MID(J975,1,2)),Schwierigkeitsstufen!$G$7:$G$19,Schwierigkeitsstufen!$H$7:$H$19)))</f>
        <v/>
      </c>
      <c r="AE975" s="211"/>
      <c r="AG975" s="221" t="str">
        <f t="shared" si="135"/>
        <v/>
      </c>
      <c r="AH975" s="222" t="str">
        <f t="shared" si="137"/>
        <v/>
      </c>
      <c r="AI975" s="220">
        <f t="shared" si="142"/>
        <v>4</v>
      </c>
      <c r="AJ975" s="222">
        <f t="shared" si="138"/>
        <v>0</v>
      </c>
      <c r="AK975" s="299" t="str">
        <f>IF(ISERROR(LOOKUP(E975,WKNrListe,Übersicht!$R$7:$R$46)),"-",LOOKUP(E975,WKNrListe,Übersicht!$R$7:$R$46))</f>
        <v>-</v>
      </c>
      <c r="AL975" s="299" t="str">
        <f t="shared" si="141"/>
        <v>-</v>
      </c>
      <c r="AM975" s="303"/>
      <c r="AN975" s="174" t="str">
        <f t="shared" si="134"/>
        <v>Leer</v>
      </c>
    </row>
    <row r="976" spans="1:40" s="174" customFormat="1" ht="15" customHeight="1">
      <c r="A976" s="63"/>
      <c r="B976" s="63"/>
      <c r="C976" s="84"/>
      <c r="D976" s="85"/>
      <c r="E976" s="62"/>
      <c r="F976" s="62"/>
      <c r="G976" s="62"/>
      <c r="H976" s="62"/>
      <c r="I976" s="62"/>
      <c r="J976" s="62"/>
      <c r="K976" s="62"/>
      <c r="L976" s="62"/>
      <c r="M976" s="62"/>
      <c r="N976" s="62"/>
      <c r="O976" s="62"/>
      <c r="P976" s="62"/>
      <c r="Q976" s="62"/>
      <c r="R976" s="62"/>
      <c r="S976" s="258"/>
      <c r="T976" s="248" t="str">
        <f t="shared" si="139"/>
        <v/>
      </c>
      <c r="U976" s="249" t="str">
        <f t="shared" si="140"/>
        <v/>
      </c>
      <c r="V976" s="294" t="str">
        <f t="shared" si="136"/>
        <v/>
      </c>
      <c r="W976" s="294" t="str">
        <f>IF(((E976="")+(F976="")),"",IF(VLOOKUP(F976,Mannschaften!$A$1:$B$54,2,FALSE)&lt;&gt;E976,"Reiter Mannschaften füllen",""))</f>
        <v/>
      </c>
      <c r="X976" s="248" t="str">
        <f>IF(ISBLANK(C976),"",IF((U976&gt;(LOOKUP(E976,WKNrListe,Übersicht!$O$7:$O$46)))+(U976&lt;(LOOKUP(E976,WKNrListe,Übersicht!$P$7:$P$46))),"JG falsch",""))</f>
        <v/>
      </c>
      <c r="Y976" s="255" t="str">
        <f>IF((A976="")*(B976=""),"",IF(ISERROR(MATCH(E976,WKNrListe,0)),"WK falsch",LOOKUP(E976,WKNrListe,Übersicht!$B$7:$B$46)))</f>
        <v/>
      </c>
      <c r="Z976" s="269" t="str">
        <f>IF(((AJ976=0)*(AH976&lt;&gt;"")*(AK976="-"))+((AJ976&lt;&gt;0)*(AH976&lt;&gt;"")*(AK976="-")),IF(AG976="X",Übersicht!$C$70,Übersicht!$C$69),"-")</f>
        <v>-</v>
      </c>
      <c r="AA976" s="252" t="str">
        <f>IF((($A976="")*($B976=""))+((MID($Y976,1,4)&lt;&gt;"Wahl")*(Deckblatt!$C$14='WK-Vorlagen'!$C$82))+(Deckblatt!$C$14&lt;&gt;'WK-Vorlagen'!$C$82),"",IF(ISERROR(MATCH(VALUE(MID(G976,1,2)),Schwierigkeitsstufen!$G$7:$G$19,0)),"Gerät falsch",LOOKUP(VALUE(MID(G976,1,2)),Schwierigkeitsstufen!$G$7:$G$19,Schwierigkeitsstufen!$H$7:$H$19)))</f>
        <v/>
      </c>
      <c r="AB976" s="250" t="str">
        <f>IF((($A976="")*($B976=""))+((MID($Y976,1,4)&lt;&gt;"Wahl")*(Deckblatt!$C$14='WK-Vorlagen'!$C$82))+(Deckblatt!$C$14&lt;&gt;'WK-Vorlagen'!$C$82),"",IF(ISERROR(MATCH(VALUE(MID(H976,1,2)),Schwierigkeitsstufen!$G$7:$G$19,0)),"Gerät falsch",LOOKUP(VALUE(MID(H976,1,2)),Schwierigkeitsstufen!$G$7:$G$19,Schwierigkeitsstufen!$H$7:$H$19)))</f>
        <v/>
      </c>
      <c r="AC976" s="250" t="str">
        <f>IF((($A976="")*($B976=""))+((MID($Y976,1,4)&lt;&gt;"Wahl")*(Deckblatt!$C$14='WK-Vorlagen'!$C$82))+(Deckblatt!$C$14&lt;&gt;'WK-Vorlagen'!$C$82),"",IF(ISERROR(MATCH(VALUE(MID(I976,1,2)),Schwierigkeitsstufen!$G$7:$G$19,0)),"Gerät falsch",LOOKUP(VALUE(MID(I976,1,2)),Schwierigkeitsstufen!$G$7:$G$19,Schwierigkeitsstufen!$H$7:$H$19)))</f>
        <v/>
      </c>
      <c r="AD976" s="251" t="str">
        <f>IF((($A976="")*($B976=""))+((MID($Y976,1,4)&lt;&gt;"Wahl")*(Deckblatt!$C$14='WK-Vorlagen'!$C$82))+(Deckblatt!$C$14&lt;&gt;'WK-Vorlagen'!$C$82),"",IF(ISERROR(MATCH(VALUE(MID(J976,1,2)),Schwierigkeitsstufen!$G$7:$G$19,0)),"Gerät falsch",LOOKUP(VALUE(MID(J976,1,2)),Schwierigkeitsstufen!$G$7:$G$19,Schwierigkeitsstufen!$H$7:$H$19)))</f>
        <v/>
      </c>
      <c r="AE976" s="211"/>
      <c r="AG976" s="221" t="str">
        <f t="shared" si="135"/>
        <v/>
      </c>
      <c r="AH976" s="222" t="str">
        <f t="shared" si="137"/>
        <v/>
      </c>
      <c r="AI976" s="220">
        <f t="shared" si="142"/>
        <v>4</v>
      </c>
      <c r="AJ976" s="222">
        <f t="shared" si="138"/>
        <v>0</v>
      </c>
      <c r="AK976" s="299" t="str">
        <f>IF(ISERROR(LOOKUP(E976,WKNrListe,Übersicht!$R$7:$R$46)),"-",LOOKUP(E976,WKNrListe,Übersicht!$R$7:$R$46))</f>
        <v>-</v>
      </c>
      <c r="AL976" s="299" t="str">
        <f t="shared" si="141"/>
        <v>-</v>
      </c>
      <c r="AM976" s="303"/>
      <c r="AN976" s="174" t="str">
        <f t="shared" si="134"/>
        <v>Leer</v>
      </c>
    </row>
    <row r="977" spans="1:40" s="174" customFormat="1" ht="15" customHeight="1">
      <c r="A977" s="63"/>
      <c r="B977" s="63"/>
      <c r="C977" s="84"/>
      <c r="D977" s="85"/>
      <c r="E977" s="62"/>
      <c r="F977" s="62"/>
      <c r="G977" s="62"/>
      <c r="H977" s="62"/>
      <c r="I977" s="62"/>
      <c r="J977" s="62"/>
      <c r="K977" s="62"/>
      <c r="L977" s="62"/>
      <c r="M977" s="62"/>
      <c r="N977" s="62"/>
      <c r="O977" s="62"/>
      <c r="P977" s="62"/>
      <c r="Q977" s="62"/>
      <c r="R977" s="62"/>
      <c r="S977" s="258"/>
      <c r="T977" s="248" t="str">
        <f t="shared" si="139"/>
        <v/>
      </c>
      <c r="U977" s="249" t="str">
        <f t="shared" si="140"/>
        <v/>
      </c>
      <c r="V977" s="294" t="str">
        <f t="shared" si="136"/>
        <v/>
      </c>
      <c r="W977" s="294" t="str">
        <f>IF(((E977="")+(F977="")),"",IF(VLOOKUP(F977,Mannschaften!$A$1:$B$54,2,FALSE)&lt;&gt;E977,"Reiter Mannschaften füllen",""))</f>
        <v/>
      </c>
      <c r="X977" s="248" t="str">
        <f>IF(ISBLANK(C977),"",IF((U977&gt;(LOOKUP(E977,WKNrListe,Übersicht!$O$7:$O$46)))+(U977&lt;(LOOKUP(E977,WKNrListe,Übersicht!$P$7:$P$46))),"JG falsch",""))</f>
        <v/>
      </c>
      <c r="Y977" s="255" t="str">
        <f>IF((A977="")*(B977=""),"",IF(ISERROR(MATCH(E977,WKNrListe,0)),"WK falsch",LOOKUP(E977,WKNrListe,Übersicht!$B$7:$B$46)))</f>
        <v/>
      </c>
      <c r="Z977" s="269" t="str">
        <f>IF(((AJ977=0)*(AH977&lt;&gt;"")*(AK977="-"))+((AJ977&lt;&gt;0)*(AH977&lt;&gt;"")*(AK977="-")),IF(AG977="X",Übersicht!$C$70,Übersicht!$C$69),"-")</f>
        <v>-</v>
      </c>
      <c r="AA977" s="252" t="str">
        <f>IF((($A977="")*($B977=""))+((MID($Y977,1,4)&lt;&gt;"Wahl")*(Deckblatt!$C$14='WK-Vorlagen'!$C$82))+(Deckblatt!$C$14&lt;&gt;'WK-Vorlagen'!$C$82),"",IF(ISERROR(MATCH(VALUE(MID(G977,1,2)),Schwierigkeitsstufen!$G$7:$G$19,0)),"Gerät falsch",LOOKUP(VALUE(MID(G977,1,2)),Schwierigkeitsstufen!$G$7:$G$19,Schwierigkeitsstufen!$H$7:$H$19)))</f>
        <v/>
      </c>
      <c r="AB977" s="250" t="str">
        <f>IF((($A977="")*($B977=""))+((MID($Y977,1,4)&lt;&gt;"Wahl")*(Deckblatt!$C$14='WK-Vorlagen'!$C$82))+(Deckblatt!$C$14&lt;&gt;'WK-Vorlagen'!$C$82),"",IF(ISERROR(MATCH(VALUE(MID(H977,1,2)),Schwierigkeitsstufen!$G$7:$G$19,0)),"Gerät falsch",LOOKUP(VALUE(MID(H977,1,2)),Schwierigkeitsstufen!$G$7:$G$19,Schwierigkeitsstufen!$H$7:$H$19)))</f>
        <v/>
      </c>
      <c r="AC977" s="250" t="str">
        <f>IF((($A977="")*($B977=""))+((MID($Y977,1,4)&lt;&gt;"Wahl")*(Deckblatt!$C$14='WK-Vorlagen'!$C$82))+(Deckblatt!$C$14&lt;&gt;'WK-Vorlagen'!$C$82),"",IF(ISERROR(MATCH(VALUE(MID(I977,1,2)),Schwierigkeitsstufen!$G$7:$G$19,0)),"Gerät falsch",LOOKUP(VALUE(MID(I977,1,2)),Schwierigkeitsstufen!$G$7:$G$19,Schwierigkeitsstufen!$H$7:$H$19)))</f>
        <v/>
      </c>
      <c r="AD977" s="251" t="str">
        <f>IF((($A977="")*($B977=""))+((MID($Y977,1,4)&lt;&gt;"Wahl")*(Deckblatt!$C$14='WK-Vorlagen'!$C$82))+(Deckblatt!$C$14&lt;&gt;'WK-Vorlagen'!$C$82),"",IF(ISERROR(MATCH(VALUE(MID(J977,1,2)),Schwierigkeitsstufen!$G$7:$G$19,0)),"Gerät falsch",LOOKUP(VALUE(MID(J977,1,2)),Schwierigkeitsstufen!$G$7:$G$19,Schwierigkeitsstufen!$H$7:$H$19)))</f>
        <v/>
      </c>
      <c r="AE977" s="211"/>
      <c r="AG977" s="221" t="str">
        <f t="shared" si="135"/>
        <v/>
      </c>
      <c r="AH977" s="222" t="str">
        <f t="shared" si="137"/>
        <v/>
      </c>
      <c r="AI977" s="220">
        <f t="shared" si="142"/>
        <v>4</v>
      </c>
      <c r="AJ977" s="222">
        <f t="shared" si="138"/>
        <v>0</v>
      </c>
      <c r="AK977" s="299" t="str">
        <f>IF(ISERROR(LOOKUP(E977,WKNrListe,Übersicht!$R$7:$R$46)),"-",LOOKUP(E977,WKNrListe,Übersicht!$R$7:$R$46))</f>
        <v>-</v>
      </c>
      <c r="AL977" s="299" t="str">
        <f t="shared" si="141"/>
        <v>-</v>
      </c>
      <c r="AM977" s="303"/>
      <c r="AN977" s="174" t="str">
        <f t="shared" si="134"/>
        <v>Leer</v>
      </c>
    </row>
    <row r="978" spans="1:40" s="174" customFormat="1" ht="15" customHeight="1">
      <c r="A978" s="63"/>
      <c r="B978" s="63"/>
      <c r="C978" s="84"/>
      <c r="D978" s="85"/>
      <c r="E978" s="62"/>
      <c r="F978" s="62"/>
      <c r="G978" s="62"/>
      <c r="H978" s="62"/>
      <c r="I978" s="62"/>
      <c r="J978" s="62"/>
      <c r="K978" s="62"/>
      <c r="L978" s="62"/>
      <c r="M978" s="62"/>
      <c r="N978" s="62"/>
      <c r="O978" s="62"/>
      <c r="P978" s="62"/>
      <c r="Q978" s="62"/>
      <c r="R978" s="62"/>
      <c r="S978" s="258"/>
      <c r="T978" s="248" t="str">
        <f t="shared" si="139"/>
        <v/>
      </c>
      <c r="U978" s="249" t="str">
        <f t="shared" si="140"/>
        <v/>
      </c>
      <c r="V978" s="294" t="str">
        <f t="shared" si="136"/>
        <v/>
      </c>
      <c r="W978" s="294" t="str">
        <f>IF(((E978="")+(F978="")),"",IF(VLOOKUP(F978,Mannschaften!$A$1:$B$54,2,FALSE)&lt;&gt;E978,"Reiter Mannschaften füllen",""))</f>
        <v/>
      </c>
      <c r="X978" s="248" t="str">
        <f>IF(ISBLANK(C978),"",IF((U978&gt;(LOOKUP(E978,WKNrListe,Übersicht!$O$7:$O$46)))+(U978&lt;(LOOKUP(E978,WKNrListe,Übersicht!$P$7:$P$46))),"JG falsch",""))</f>
        <v/>
      </c>
      <c r="Y978" s="255" t="str">
        <f>IF((A978="")*(B978=""),"",IF(ISERROR(MATCH(E978,WKNrListe,0)),"WK falsch",LOOKUP(E978,WKNrListe,Übersicht!$B$7:$B$46)))</f>
        <v/>
      </c>
      <c r="Z978" s="269" t="str">
        <f>IF(((AJ978=0)*(AH978&lt;&gt;"")*(AK978="-"))+((AJ978&lt;&gt;0)*(AH978&lt;&gt;"")*(AK978="-")),IF(AG978="X",Übersicht!$C$70,Übersicht!$C$69),"-")</f>
        <v>-</v>
      </c>
      <c r="AA978" s="252" t="str">
        <f>IF((($A978="")*($B978=""))+((MID($Y978,1,4)&lt;&gt;"Wahl")*(Deckblatt!$C$14='WK-Vorlagen'!$C$82))+(Deckblatt!$C$14&lt;&gt;'WK-Vorlagen'!$C$82),"",IF(ISERROR(MATCH(VALUE(MID(G978,1,2)),Schwierigkeitsstufen!$G$7:$G$19,0)),"Gerät falsch",LOOKUP(VALUE(MID(G978,1,2)),Schwierigkeitsstufen!$G$7:$G$19,Schwierigkeitsstufen!$H$7:$H$19)))</f>
        <v/>
      </c>
      <c r="AB978" s="250" t="str">
        <f>IF((($A978="")*($B978=""))+((MID($Y978,1,4)&lt;&gt;"Wahl")*(Deckblatt!$C$14='WK-Vorlagen'!$C$82))+(Deckblatt!$C$14&lt;&gt;'WK-Vorlagen'!$C$82),"",IF(ISERROR(MATCH(VALUE(MID(H978,1,2)),Schwierigkeitsstufen!$G$7:$G$19,0)),"Gerät falsch",LOOKUP(VALUE(MID(H978,1,2)),Schwierigkeitsstufen!$G$7:$G$19,Schwierigkeitsstufen!$H$7:$H$19)))</f>
        <v/>
      </c>
      <c r="AC978" s="250" t="str">
        <f>IF((($A978="")*($B978=""))+((MID($Y978,1,4)&lt;&gt;"Wahl")*(Deckblatt!$C$14='WK-Vorlagen'!$C$82))+(Deckblatt!$C$14&lt;&gt;'WK-Vorlagen'!$C$82),"",IF(ISERROR(MATCH(VALUE(MID(I978,1,2)),Schwierigkeitsstufen!$G$7:$G$19,0)),"Gerät falsch",LOOKUP(VALUE(MID(I978,1,2)),Schwierigkeitsstufen!$G$7:$G$19,Schwierigkeitsstufen!$H$7:$H$19)))</f>
        <v/>
      </c>
      <c r="AD978" s="251" t="str">
        <f>IF((($A978="")*($B978=""))+((MID($Y978,1,4)&lt;&gt;"Wahl")*(Deckblatt!$C$14='WK-Vorlagen'!$C$82))+(Deckblatt!$C$14&lt;&gt;'WK-Vorlagen'!$C$82),"",IF(ISERROR(MATCH(VALUE(MID(J978,1,2)),Schwierigkeitsstufen!$G$7:$G$19,0)),"Gerät falsch",LOOKUP(VALUE(MID(J978,1,2)),Schwierigkeitsstufen!$G$7:$G$19,Schwierigkeitsstufen!$H$7:$H$19)))</f>
        <v/>
      </c>
      <c r="AE978" s="211"/>
      <c r="AG978" s="221" t="str">
        <f t="shared" si="135"/>
        <v/>
      </c>
      <c r="AH978" s="222" t="str">
        <f t="shared" si="137"/>
        <v/>
      </c>
      <c r="AI978" s="220">
        <f t="shared" si="142"/>
        <v>4</v>
      </c>
      <c r="AJ978" s="222">
        <f t="shared" si="138"/>
        <v>0</v>
      </c>
      <c r="AK978" s="299" t="str">
        <f>IF(ISERROR(LOOKUP(E978,WKNrListe,Übersicht!$R$7:$R$46)),"-",LOOKUP(E978,WKNrListe,Übersicht!$R$7:$R$46))</f>
        <v>-</v>
      </c>
      <c r="AL978" s="299" t="str">
        <f t="shared" si="141"/>
        <v>-</v>
      </c>
      <c r="AM978" s="303"/>
      <c r="AN978" s="174" t="str">
        <f t="shared" si="134"/>
        <v>Leer</v>
      </c>
    </row>
    <row r="979" spans="1:40" s="174" customFormat="1" ht="15" customHeight="1">
      <c r="A979" s="63"/>
      <c r="B979" s="63"/>
      <c r="C979" s="84"/>
      <c r="D979" s="85"/>
      <c r="E979" s="62"/>
      <c r="F979" s="62"/>
      <c r="G979" s="62"/>
      <c r="H979" s="62"/>
      <c r="I979" s="62"/>
      <c r="J979" s="62"/>
      <c r="K979" s="62"/>
      <c r="L979" s="62"/>
      <c r="M979" s="62"/>
      <c r="N979" s="62"/>
      <c r="O979" s="62"/>
      <c r="P979" s="62"/>
      <c r="Q979" s="62"/>
      <c r="R979" s="62"/>
      <c r="S979" s="258"/>
      <c r="T979" s="248" t="str">
        <f t="shared" si="139"/>
        <v/>
      </c>
      <c r="U979" s="249" t="str">
        <f t="shared" si="140"/>
        <v/>
      </c>
      <c r="V979" s="294" t="str">
        <f t="shared" si="136"/>
        <v/>
      </c>
      <c r="W979" s="294" t="str">
        <f>IF(((E979="")+(F979="")),"",IF(VLOOKUP(F979,Mannschaften!$A$1:$B$54,2,FALSE)&lt;&gt;E979,"Reiter Mannschaften füllen",""))</f>
        <v/>
      </c>
      <c r="X979" s="248" t="str">
        <f>IF(ISBLANK(C979),"",IF((U979&gt;(LOOKUP(E979,WKNrListe,Übersicht!$O$7:$O$46)))+(U979&lt;(LOOKUP(E979,WKNrListe,Übersicht!$P$7:$P$46))),"JG falsch",""))</f>
        <v/>
      </c>
      <c r="Y979" s="255" t="str">
        <f>IF((A979="")*(B979=""),"",IF(ISERROR(MATCH(E979,WKNrListe,0)),"WK falsch",LOOKUP(E979,WKNrListe,Übersicht!$B$7:$B$46)))</f>
        <v/>
      </c>
      <c r="Z979" s="269" t="str">
        <f>IF(((AJ979=0)*(AH979&lt;&gt;"")*(AK979="-"))+((AJ979&lt;&gt;0)*(AH979&lt;&gt;"")*(AK979="-")),IF(AG979="X",Übersicht!$C$70,Übersicht!$C$69),"-")</f>
        <v>-</v>
      </c>
      <c r="AA979" s="252" t="str">
        <f>IF((($A979="")*($B979=""))+((MID($Y979,1,4)&lt;&gt;"Wahl")*(Deckblatt!$C$14='WK-Vorlagen'!$C$82))+(Deckblatt!$C$14&lt;&gt;'WK-Vorlagen'!$C$82),"",IF(ISERROR(MATCH(VALUE(MID(G979,1,2)),Schwierigkeitsstufen!$G$7:$G$19,0)),"Gerät falsch",LOOKUP(VALUE(MID(G979,1,2)),Schwierigkeitsstufen!$G$7:$G$19,Schwierigkeitsstufen!$H$7:$H$19)))</f>
        <v/>
      </c>
      <c r="AB979" s="250" t="str">
        <f>IF((($A979="")*($B979=""))+((MID($Y979,1,4)&lt;&gt;"Wahl")*(Deckblatt!$C$14='WK-Vorlagen'!$C$82))+(Deckblatt!$C$14&lt;&gt;'WK-Vorlagen'!$C$82),"",IF(ISERROR(MATCH(VALUE(MID(H979,1,2)),Schwierigkeitsstufen!$G$7:$G$19,0)),"Gerät falsch",LOOKUP(VALUE(MID(H979,1,2)),Schwierigkeitsstufen!$G$7:$G$19,Schwierigkeitsstufen!$H$7:$H$19)))</f>
        <v/>
      </c>
      <c r="AC979" s="250" t="str">
        <f>IF((($A979="")*($B979=""))+((MID($Y979,1,4)&lt;&gt;"Wahl")*(Deckblatt!$C$14='WK-Vorlagen'!$C$82))+(Deckblatt!$C$14&lt;&gt;'WK-Vorlagen'!$C$82),"",IF(ISERROR(MATCH(VALUE(MID(I979,1,2)),Schwierigkeitsstufen!$G$7:$G$19,0)),"Gerät falsch",LOOKUP(VALUE(MID(I979,1,2)),Schwierigkeitsstufen!$G$7:$G$19,Schwierigkeitsstufen!$H$7:$H$19)))</f>
        <v/>
      </c>
      <c r="AD979" s="251" t="str">
        <f>IF((($A979="")*($B979=""))+((MID($Y979,1,4)&lt;&gt;"Wahl")*(Deckblatt!$C$14='WK-Vorlagen'!$C$82))+(Deckblatt!$C$14&lt;&gt;'WK-Vorlagen'!$C$82),"",IF(ISERROR(MATCH(VALUE(MID(J979,1,2)),Schwierigkeitsstufen!$G$7:$G$19,0)),"Gerät falsch",LOOKUP(VALUE(MID(J979,1,2)),Schwierigkeitsstufen!$G$7:$G$19,Schwierigkeitsstufen!$H$7:$H$19)))</f>
        <v/>
      </c>
      <c r="AE979" s="211"/>
      <c r="AG979" s="221" t="str">
        <f t="shared" si="135"/>
        <v/>
      </c>
      <c r="AH979" s="222" t="str">
        <f t="shared" si="137"/>
        <v/>
      </c>
      <c r="AI979" s="220">
        <f t="shared" si="142"/>
        <v>4</v>
      </c>
      <c r="AJ979" s="222">
        <f t="shared" si="138"/>
        <v>0</v>
      </c>
      <c r="AK979" s="299" t="str">
        <f>IF(ISERROR(LOOKUP(E979,WKNrListe,Übersicht!$R$7:$R$46)),"-",LOOKUP(E979,WKNrListe,Übersicht!$R$7:$R$46))</f>
        <v>-</v>
      </c>
      <c r="AL979" s="299" t="str">
        <f t="shared" si="141"/>
        <v>-</v>
      </c>
      <c r="AM979" s="303"/>
      <c r="AN979" s="174" t="str">
        <f t="shared" si="134"/>
        <v>Leer</v>
      </c>
    </row>
    <row r="980" spans="1:40" s="174" customFormat="1" ht="15" customHeight="1">
      <c r="A980" s="63"/>
      <c r="B980" s="63"/>
      <c r="C980" s="84"/>
      <c r="D980" s="85"/>
      <c r="E980" s="62"/>
      <c r="F980" s="62"/>
      <c r="G980" s="62"/>
      <c r="H980" s="62"/>
      <c r="I980" s="62"/>
      <c r="J980" s="62"/>
      <c r="K980" s="62"/>
      <c r="L980" s="62"/>
      <c r="M980" s="62"/>
      <c r="N980" s="62"/>
      <c r="O980" s="62"/>
      <c r="P980" s="62"/>
      <c r="Q980" s="62"/>
      <c r="R980" s="62"/>
      <c r="S980" s="258"/>
      <c r="T980" s="248" t="str">
        <f t="shared" si="139"/>
        <v/>
      </c>
      <c r="U980" s="249" t="str">
        <f t="shared" si="140"/>
        <v/>
      </c>
      <c r="V980" s="294" t="str">
        <f t="shared" si="136"/>
        <v/>
      </c>
      <c r="W980" s="294" t="str">
        <f>IF(((E980="")+(F980="")),"",IF(VLOOKUP(F980,Mannschaften!$A$1:$B$54,2,FALSE)&lt;&gt;E980,"Reiter Mannschaften füllen",""))</f>
        <v/>
      </c>
      <c r="X980" s="248" t="str">
        <f>IF(ISBLANK(C980),"",IF((U980&gt;(LOOKUP(E980,WKNrListe,Übersicht!$O$7:$O$46)))+(U980&lt;(LOOKUP(E980,WKNrListe,Übersicht!$P$7:$P$46))),"JG falsch",""))</f>
        <v/>
      </c>
      <c r="Y980" s="255" t="str">
        <f>IF((A980="")*(B980=""),"",IF(ISERROR(MATCH(E980,WKNrListe,0)),"WK falsch",LOOKUP(E980,WKNrListe,Übersicht!$B$7:$B$46)))</f>
        <v/>
      </c>
      <c r="Z980" s="269" t="str">
        <f>IF(((AJ980=0)*(AH980&lt;&gt;"")*(AK980="-"))+((AJ980&lt;&gt;0)*(AH980&lt;&gt;"")*(AK980="-")),IF(AG980="X",Übersicht!$C$70,Übersicht!$C$69),"-")</f>
        <v>-</v>
      </c>
      <c r="AA980" s="252" t="str">
        <f>IF((($A980="")*($B980=""))+((MID($Y980,1,4)&lt;&gt;"Wahl")*(Deckblatt!$C$14='WK-Vorlagen'!$C$82))+(Deckblatt!$C$14&lt;&gt;'WK-Vorlagen'!$C$82),"",IF(ISERROR(MATCH(VALUE(MID(G980,1,2)),Schwierigkeitsstufen!$G$7:$G$19,0)),"Gerät falsch",LOOKUP(VALUE(MID(G980,1,2)),Schwierigkeitsstufen!$G$7:$G$19,Schwierigkeitsstufen!$H$7:$H$19)))</f>
        <v/>
      </c>
      <c r="AB980" s="250" t="str">
        <f>IF((($A980="")*($B980=""))+((MID($Y980,1,4)&lt;&gt;"Wahl")*(Deckblatt!$C$14='WK-Vorlagen'!$C$82))+(Deckblatt!$C$14&lt;&gt;'WK-Vorlagen'!$C$82),"",IF(ISERROR(MATCH(VALUE(MID(H980,1,2)),Schwierigkeitsstufen!$G$7:$G$19,0)),"Gerät falsch",LOOKUP(VALUE(MID(H980,1,2)),Schwierigkeitsstufen!$G$7:$G$19,Schwierigkeitsstufen!$H$7:$H$19)))</f>
        <v/>
      </c>
      <c r="AC980" s="250" t="str">
        <f>IF((($A980="")*($B980=""))+((MID($Y980,1,4)&lt;&gt;"Wahl")*(Deckblatt!$C$14='WK-Vorlagen'!$C$82))+(Deckblatt!$C$14&lt;&gt;'WK-Vorlagen'!$C$82),"",IF(ISERROR(MATCH(VALUE(MID(I980,1,2)),Schwierigkeitsstufen!$G$7:$G$19,0)),"Gerät falsch",LOOKUP(VALUE(MID(I980,1,2)),Schwierigkeitsstufen!$G$7:$G$19,Schwierigkeitsstufen!$H$7:$H$19)))</f>
        <v/>
      </c>
      <c r="AD980" s="251" t="str">
        <f>IF((($A980="")*($B980=""))+((MID($Y980,1,4)&lt;&gt;"Wahl")*(Deckblatt!$C$14='WK-Vorlagen'!$C$82))+(Deckblatt!$C$14&lt;&gt;'WK-Vorlagen'!$C$82),"",IF(ISERROR(MATCH(VALUE(MID(J980,1,2)),Schwierigkeitsstufen!$G$7:$G$19,0)),"Gerät falsch",LOOKUP(VALUE(MID(J980,1,2)),Schwierigkeitsstufen!$G$7:$G$19,Schwierigkeitsstufen!$H$7:$H$19)))</f>
        <v/>
      </c>
      <c r="AE980" s="211"/>
      <c r="AG980" s="221" t="str">
        <f t="shared" si="135"/>
        <v/>
      </c>
      <c r="AH980" s="222" t="str">
        <f t="shared" si="137"/>
        <v/>
      </c>
      <c r="AI980" s="220">
        <f t="shared" si="142"/>
        <v>4</v>
      </c>
      <c r="AJ980" s="222">
        <f t="shared" si="138"/>
        <v>0</v>
      </c>
      <c r="AK980" s="299" t="str">
        <f>IF(ISERROR(LOOKUP(E980,WKNrListe,Übersicht!$R$7:$R$46)),"-",LOOKUP(E980,WKNrListe,Übersicht!$R$7:$R$46))</f>
        <v>-</v>
      </c>
      <c r="AL980" s="299" t="str">
        <f t="shared" si="141"/>
        <v>-</v>
      </c>
      <c r="AM980" s="303"/>
      <c r="AN980" s="174" t="str">
        <f t="shared" si="134"/>
        <v>Leer</v>
      </c>
    </row>
    <row r="981" spans="1:40" s="174" customFormat="1" ht="15" customHeight="1">
      <c r="A981" s="63"/>
      <c r="B981" s="63"/>
      <c r="C981" s="84"/>
      <c r="D981" s="85"/>
      <c r="E981" s="62"/>
      <c r="F981" s="62"/>
      <c r="G981" s="62"/>
      <c r="H981" s="62"/>
      <c r="I981" s="62"/>
      <c r="J981" s="62"/>
      <c r="K981" s="62"/>
      <c r="L981" s="62"/>
      <c r="M981" s="62"/>
      <c r="N981" s="62"/>
      <c r="O981" s="62"/>
      <c r="P981" s="62"/>
      <c r="Q981" s="62"/>
      <c r="R981" s="62"/>
      <c r="S981" s="258"/>
      <c r="T981" s="248" t="str">
        <f t="shared" si="139"/>
        <v/>
      </c>
      <c r="U981" s="249" t="str">
        <f t="shared" si="140"/>
        <v/>
      </c>
      <c r="V981" s="294" t="str">
        <f t="shared" si="136"/>
        <v/>
      </c>
      <c r="W981" s="294" t="str">
        <f>IF(((E981="")+(F981="")),"",IF(VLOOKUP(F981,Mannschaften!$A$1:$B$54,2,FALSE)&lt;&gt;E981,"Reiter Mannschaften füllen",""))</f>
        <v/>
      </c>
      <c r="X981" s="248" t="str">
        <f>IF(ISBLANK(C981),"",IF((U981&gt;(LOOKUP(E981,WKNrListe,Übersicht!$O$7:$O$46)))+(U981&lt;(LOOKUP(E981,WKNrListe,Übersicht!$P$7:$P$46))),"JG falsch",""))</f>
        <v/>
      </c>
      <c r="Y981" s="255" t="str">
        <f>IF((A981="")*(B981=""),"",IF(ISERROR(MATCH(E981,WKNrListe,0)),"WK falsch",LOOKUP(E981,WKNrListe,Übersicht!$B$7:$B$46)))</f>
        <v/>
      </c>
      <c r="Z981" s="269" t="str">
        <f>IF(((AJ981=0)*(AH981&lt;&gt;"")*(AK981="-"))+((AJ981&lt;&gt;0)*(AH981&lt;&gt;"")*(AK981="-")),IF(AG981="X",Übersicht!$C$70,Übersicht!$C$69),"-")</f>
        <v>-</v>
      </c>
      <c r="AA981" s="252" t="str">
        <f>IF((($A981="")*($B981=""))+((MID($Y981,1,4)&lt;&gt;"Wahl")*(Deckblatt!$C$14='WK-Vorlagen'!$C$82))+(Deckblatt!$C$14&lt;&gt;'WK-Vorlagen'!$C$82),"",IF(ISERROR(MATCH(VALUE(MID(G981,1,2)),Schwierigkeitsstufen!$G$7:$G$19,0)),"Gerät falsch",LOOKUP(VALUE(MID(G981,1,2)),Schwierigkeitsstufen!$G$7:$G$19,Schwierigkeitsstufen!$H$7:$H$19)))</f>
        <v/>
      </c>
      <c r="AB981" s="250" t="str">
        <f>IF((($A981="")*($B981=""))+((MID($Y981,1,4)&lt;&gt;"Wahl")*(Deckblatt!$C$14='WK-Vorlagen'!$C$82))+(Deckblatt!$C$14&lt;&gt;'WK-Vorlagen'!$C$82),"",IF(ISERROR(MATCH(VALUE(MID(H981,1,2)),Schwierigkeitsstufen!$G$7:$G$19,0)),"Gerät falsch",LOOKUP(VALUE(MID(H981,1,2)),Schwierigkeitsstufen!$G$7:$G$19,Schwierigkeitsstufen!$H$7:$H$19)))</f>
        <v/>
      </c>
      <c r="AC981" s="250" t="str">
        <f>IF((($A981="")*($B981=""))+((MID($Y981,1,4)&lt;&gt;"Wahl")*(Deckblatt!$C$14='WK-Vorlagen'!$C$82))+(Deckblatt!$C$14&lt;&gt;'WK-Vorlagen'!$C$82),"",IF(ISERROR(MATCH(VALUE(MID(I981,1,2)),Schwierigkeitsstufen!$G$7:$G$19,0)),"Gerät falsch",LOOKUP(VALUE(MID(I981,1,2)),Schwierigkeitsstufen!$G$7:$G$19,Schwierigkeitsstufen!$H$7:$H$19)))</f>
        <v/>
      </c>
      <c r="AD981" s="251" t="str">
        <f>IF((($A981="")*($B981=""))+((MID($Y981,1,4)&lt;&gt;"Wahl")*(Deckblatt!$C$14='WK-Vorlagen'!$C$82))+(Deckblatt!$C$14&lt;&gt;'WK-Vorlagen'!$C$82),"",IF(ISERROR(MATCH(VALUE(MID(J981,1,2)),Schwierigkeitsstufen!$G$7:$G$19,0)),"Gerät falsch",LOOKUP(VALUE(MID(J981,1,2)),Schwierigkeitsstufen!$G$7:$G$19,Schwierigkeitsstufen!$H$7:$H$19)))</f>
        <v/>
      </c>
      <c r="AE981" s="211"/>
      <c r="AG981" s="221" t="str">
        <f t="shared" si="135"/>
        <v/>
      </c>
      <c r="AH981" s="222" t="str">
        <f t="shared" si="137"/>
        <v/>
      </c>
      <c r="AI981" s="220">
        <f t="shared" si="142"/>
        <v>4</v>
      </c>
      <c r="AJ981" s="222">
        <f t="shared" si="138"/>
        <v>0</v>
      </c>
      <c r="AK981" s="299" t="str">
        <f>IF(ISERROR(LOOKUP(E981,WKNrListe,Übersicht!$R$7:$R$46)),"-",LOOKUP(E981,WKNrListe,Übersicht!$R$7:$R$46))</f>
        <v>-</v>
      </c>
      <c r="AL981" s="299" t="str">
        <f t="shared" si="141"/>
        <v>-</v>
      </c>
      <c r="AM981" s="303"/>
      <c r="AN981" s="174" t="str">
        <f t="shared" si="134"/>
        <v>Leer</v>
      </c>
    </row>
    <row r="982" spans="1:40" s="174" customFormat="1" ht="15" customHeight="1">
      <c r="A982" s="63"/>
      <c r="B982" s="63"/>
      <c r="C982" s="84"/>
      <c r="D982" s="85"/>
      <c r="E982" s="62"/>
      <c r="F982" s="62"/>
      <c r="G982" s="62"/>
      <c r="H982" s="62"/>
      <c r="I982" s="62"/>
      <c r="J982" s="62"/>
      <c r="K982" s="62"/>
      <c r="L982" s="62"/>
      <c r="M982" s="62"/>
      <c r="N982" s="62"/>
      <c r="O982" s="62"/>
      <c r="P982" s="62"/>
      <c r="Q982" s="62"/>
      <c r="R982" s="62"/>
      <c r="S982" s="258"/>
      <c r="T982" s="248" t="str">
        <f t="shared" si="139"/>
        <v/>
      </c>
      <c r="U982" s="249" t="str">
        <f t="shared" si="140"/>
        <v/>
      </c>
      <c r="V982" s="294" t="str">
        <f t="shared" si="136"/>
        <v/>
      </c>
      <c r="W982" s="294" t="str">
        <f>IF(((E982="")+(F982="")),"",IF(VLOOKUP(F982,Mannschaften!$A$1:$B$54,2,FALSE)&lt;&gt;E982,"Reiter Mannschaften füllen",""))</f>
        <v/>
      </c>
      <c r="X982" s="248" t="str">
        <f>IF(ISBLANK(C982),"",IF((U982&gt;(LOOKUP(E982,WKNrListe,Übersicht!$O$7:$O$46)))+(U982&lt;(LOOKUP(E982,WKNrListe,Übersicht!$P$7:$P$46))),"JG falsch",""))</f>
        <v/>
      </c>
      <c r="Y982" s="255" t="str">
        <f>IF((A982="")*(B982=""),"",IF(ISERROR(MATCH(E982,WKNrListe,0)),"WK falsch",LOOKUP(E982,WKNrListe,Übersicht!$B$7:$B$46)))</f>
        <v/>
      </c>
      <c r="Z982" s="269" t="str">
        <f>IF(((AJ982=0)*(AH982&lt;&gt;"")*(AK982="-"))+((AJ982&lt;&gt;0)*(AH982&lt;&gt;"")*(AK982="-")),IF(AG982="X",Übersicht!$C$70,Übersicht!$C$69),"-")</f>
        <v>-</v>
      </c>
      <c r="AA982" s="252" t="str">
        <f>IF((($A982="")*($B982=""))+((MID($Y982,1,4)&lt;&gt;"Wahl")*(Deckblatt!$C$14='WK-Vorlagen'!$C$82))+(Deckblatt!$C$14&lt;&gt;'WK-Vorlagen'!$C$82),"",IF(ISERROR(MATCH(VALUE(MID(G982,1,2)),Schwierigkeitsstufen!$G$7:$G$19,0)),"Gerät falsch",LOOKUP(VALUE(MID(G982,1,2)),Schwierigkeitsstufen!$G$7:$G$19,Schwierigkeitsstufen!$H$7:$H$19)))</f>
        <v/>
      </c>
      <c r="AB982" s="250" t="str">
        <f>IF((($A982="")*($B982=""))+((MID($Y982,1,4)&lt;&gt;"Wahl")*(Deckblatt!$C$14='WK-Vorlagen'!$C$82))+(Deckblatt!$C$14&lt;&gt;'WK-Vorlagen'!$C$82),"",IF(ISERROR(MATCH(VALUE(MID(H982,1,2)),Schwierigkeitsstufen!$G$7:$G$19,0)),"Gerät falsch",LOOKUP(VALUE(MID(H982,1,2)),Schwierigkeitsstufen!$G$7:$G$19,Schwierigkeitsstufen!$H$7:$H$19)))</f>
        <v/>
      </c>
      <c r="AC982" s="250" t="str">
        <f>IF((($A982="")*($B982=""))+((MID($Y982,1,4)&lt;&gt;"Wahl")*(Deckblatt!$C$14='WK-Vorlagen'!$C$82))+(Deckblatt!$C$14&lt;&gt;'WK-Vorlagen'!$C$82),"",IF(ISERROR(MATCH(VALUE(MID(I982,1,2)),Schwierigkeitsstufen!$G$7:$G$19,0)),"Gerät falsch",LOOKUP(VALUE(MID(I982,1,2)),Schwierigkeitsstufen!$G$7:$G$19,Schwierigkeitsstufen!$H$7:$H$19)))</f>
        <v/>
      </c>
      <c r="AD982" s="251" t="str">
        <f>IF((($A982="")*($B982=""))+((MID($Y982,1,4)&lt;&gt;"Wahl")*(Deckblatt!$C$14='WK-Vorlagen'!$C$82))+(Deckblatt!$C$14&lt;&gt;'WK-Vorlagen'!$C$82),"",IF(ISERROR(MATCH(VALUE(MID(J982,1,2)),Schwierigkeitsstufen!$G$7:$G$19,0)),"Gerät falsch",LOOKUP(VALUE(MID(J982,1,2)),Schwierigkeitsstufen!$G$7:$G$19,Schwierigkeitsstufen!$H$7:$H$19)))</f>
        <v/>
      </c>
      <c r="AE982" s="211"/>
      <c r="AG982" s="221" t="str">
        <f t="shared" si="135"/>
        <v/>
      </c>
      <c r="AH982" s="222" t="str">
        <f t="shared" si="137"/>
        <v/>
      </c>
      <c r="AI982" s="220">
        <f t="shared" si="142"/>
        <v>4</v>
      </c>
      <c r="AJ982" s="222">
        <f t="shared" si="138"/>
        <v>0</v>
      </c>
      <c r="AK982" s="299" t="str">
        <f>IF(ISERROR(LOOKUP(E982,WKNrListe,Übersicht!$R$7:$R$46)),"-",LOOKUP(E982,WKNrListe,Übersicht!$R$7:$R$46))</f>
        <v>-</v>
      </c>
      <c r="AL982" s="299" t="str">
        <f t="shared" si="141"/>
        <v>-</v>
      </c>
      <c r="AM982" s="303"/>
      <c r="AN982" s="174" t="str">
        <f t="shared" si="134"/>
        <v>Leer</v>
      </c>
    </row>
    <row r="983" spans="1:40" s="174" customFormat="1" ht="15" customHeight="1">
      <c r="A983" s="63"/>
      <c r="B983" s="63"/>
      <c r="C983" s="84"/>
      <c r="D983" s="85"/>
      <c r="E983" s="62"/>
      <c r="F983" s="62"/>
      <c r="G983" s="62"/>
      <c r="H983" s="62"/>
      <c r="I983" s="62"/>
      <c r="J983" s="62"/>
      <c r="K983" s="62"/>
      <c r="L983" s="62"/>
      <c r="M983" s="62"/>
      <c r="N983" s="62"/>
      <c r="O983" s="62"/>
      <c r="P983" s="62"/>
      <c r="Q983" s="62"/>
      <c r="R983" s="62"/>
      <c r="S983" s="258"/>
      <c r="T983" s="248" t="str">
        <f t="shared" si="139"/>
        <v/>
      </c>
      <c r="U983" s="249" t="str">
        <f t="shared" si="140"/>
        <v/>
      </c>
      <c r="V983" s="294" t="str">
        <f t="shared" si="136"/>
        <v/>
      </c>
      <c r="W983" s="294" t="str">
        <f>IF(((E983="")+(F983="")),"",IF(VLOOKUP(F983,Mannschaften!$A$1:$B$54,2,FALSE)&lt;&gt;E983,"Reiter Mannschaften füllen",""))</f>
        <v/>
      </c>
      <c r="X983" s="248" t="str">
        <f>IF(ISBLANK(C983),"",IF((U983&gt;(LOOKUP(E983,WKNrListe,Übersicht!$O$7:$O$46)))+(U983&lt;(LOOKUP(E983,WKNrListe,Übersicht!$P$7:$P$46))),"JG falsch",""))</f>
        <v/>
      </c>
      <c r="Y983" s="255" t="str">
        <f>IF((A983="")*(B983=""),"",IF(ISERROR(MATCH(E983,WKNrListe,0)),"WK falsch",LOOKUP(E983,WKNrListe,Übersicht!$B$7:$B$46)))</f>
        <v/>
      </c>
      <c r="Z983" s="269" t="str">
        <f>IF(((AJ983=0)*(AH983&lt;&gt;"")*(AK983="-"))+((AJ983&lt;&gt;0)*(AH983&lt;&gt;"")*(AK983="-")),IF(AG983="X",Übersicht!$C$70,Übersicht!$C$69),"-")</f>
        <v>-</v>
      </c>
      <c r="AA983" s="252" t="str">
        <f>IF((($A983="")*($B983=""))+((MID($Y983,1,4)&lt;&gt;"Wahl")*(Deckblatt!$C$14='WK-Vorlagen'!$C$82))+(Deckblatt!$C$14&lt;&gt;'WK-Vorlagen'!$C$82),"",IF(ISERROR(MATCH(VALUE(MID(G983,1,2)),Schwierigkeitsstufen!$G$7:$G$19,0)),"Gerät falsch",LOOKUP(VALUE(MID(G983,1,2)),Schwierigkeitsstufen!$G$7:$G$19,Schwierigkeitsstufen!$H$7:$H$19)))</f>
        <v/>
      </c>
      <c r="AB983" s="250" t="str">
        <f>IF((($A983="")*($B983=""))+((MID($Y983,1,4)&lt;&gt;"Wahl")*(Deckblatt!$C$14='WK-Vorlagen'!$C$82))+(Deckblatt!$C$14&lt;&gt;'WK-Vorlagen'!$C$82),"",IF(ISERROR(MATCH(VALUE(MID(H983,1,2)),Schwierigkeitsstufen!$G$7:$G$19,0)),"Gerät falsch",LOOKUP(VALUE(MID(H983,1,2)),Schwierigkeitsstufen!$G$7:$G$19,Schwierigkeitsstufen!$H$7:$H$19)))</f>
        <v/>
      </c>
      <c r="AC983" s="250" t="str">
        <f>IF((($A983="")*($B983=""))+((MID($Y983,1,4)&lt;&gt;"Wahl")*(Deckblatt!$C$14='WK-Vorlagen'!$C$82))+(Deckblatt!$C$14&lt;&gt;'WK-Vorlagen'!$C$82),"",IF(ISERROR(MATCH(VALUE(MID(I983,1,2)),Schwierigkeitsstufen!$G$7:$G$19,0)),"Gerät falsch",LOOKUP(VALUE(MID(I983,1,2)),Schwierigkeitsstufen!$G$7:$G$19,Schwierigkeitsstufen!$H$7:$H$19)))</f>
        <v/>
      </c>
      <c r="AD983" s="251" t="str">
        <f>IF((($A983="")*($B983=""))+((MID($Y983,1,4)&lt;&gt;"Wahl")*(Deckblatt!$C$14='WK-Vorlagen'!$C$82))+(Deckblatt!$C$14&lt;&gt;'WK-Vorlagen'!$C$82),"",IF(ISERROR(MATCH(VALUE(MID(J983,1,2)),Schwierigkeitsstufen!$G$7:$G$19,0)),"Gerät falsch",LOOKUP(VALUE(MID(J983,1,2)),Schwierigkeitsstufen!$G$7:$G$19,Schwierigkeitsstufen!$H$7:$H$19)))</f>
        <v/>
      </c>
      <c r="AE983" s="211"/>
      <c r="AG983" s="221" t="str">
        <f t="shared" si="135"/>
        <v/>
      </c>
      <c r="AH983" s="222" t="str">
        <f t="shared" si="137"/>
        <v/>
      </c>
      <c r="AI983" s="220">
        <f t="shared" si="142"/>
        <v>4</v>
      </c>
      <c r="AJ983" s="222">
        <f t="shared" si="138"/>
        <v>0</v>
      </c>
      <c r="AK983" s="299" t="str">
        <f>IF(ISERROR(LOOKUP(E983,WKNrListe,Übersicht!$R$7:$R$46)),"-",LOOKUP(E983,WKNrListe,Übersicht!$R$7:$R$46))</f>
        <v>-</v>
      </c>
      <c r="AL983" s="299" t="str">
        <f t="shared" si="141"/>
        <v>-</v>
      </c>
      <c r="AM983" s="303"/>
      <c r="AN983" s="174" t="str">
        <f t="shared" si="134"/>
        <v>Leer</v>
      </c>
    </row>
    <row r="984" spans="1:40" s="174" customFormat="1" ht="15" customHeight="1">
      <c r="A984" s="63"/>
      <c r="B984" s="63"/>
      <c r="C984" s="84"/>
      <c r="D984" s="85"/>
      <c r="E984" s="62"/>
      <c r="F984" s="62"/>
      <c r="G984" s="62"/>
      <c r="H984" s="62"/>
      <c r="I984" s="62"/>
      <c r="J984" s="62"/>
      <c r="K984" s="62"/>
      <c r="L984" s="62"/>
      <c r="M984" s="62"/>
      <c r="N984" s="62"/>
      <c r="O984" s="62"/>
      <c r="P984" s="62"/>
      <c r="Q984" s="62"/>
      <c r="R984" s="62"/>
      <c r="S984" s="258"/>
      <c r="T984" s="248" t="str">
        <f t="shared" si="139"/>
        <v/>
      </c>
      <c r="U984" s="249" t="str">
        <f t="shared" si="140"/>
        <v/>
      </c>
      <c r="V984" s="294" t="str">
        <f t="shared" si="136"/>
        <v/>
      </c>
      <c r="W984" s="294" t="str">
        <f>IF(((E984="")+(F984="")),"",IF(VLOOKUP(F984,Mannschaften!$A$1:$B$54,2,FALSE)&lt;&gt;E984,"Reiter Mannschaften füllen",""))</f>
        <v/>
      </c>
      <c r="X984" s="248" t="str">
        <f>IF(ISBLANK(C984),"",IF((U984&gt;(LOOKUP(E984,WKNrListe,Übersicht!$O$7:$O$46)))+(U984&lt;(LOOKUP(E984,WKNrListe,Übersicht!$P$7:$P$46))),"JG falsch",""))</f>
        <v/>
      </c>
      <c r="Y984" s="255" t="str">
        <f>IF((A984="")*(B984=""),"",IF(ISERROR(MATCH(E984,WKNrListe,0)),"WK falsch",LOOKUP(E984,WKNrListe,Übersicht!$B$7:$B$46)))</f>
        <v/>
      </c>
      <c r="Z984" s="269" t="str">
        <f>IF(((AJ984=0)*(AH984&lt;&gt;"")*(AK984="-"))+((AJ984&lt;&gt;0)*(AH984&lt;&gt;"")*(AK984="-")),IF(AG984="X",Übersicht!$C$70,Übersicht!$C$69),"-")</f>
        <v>-</v>
      </c>
      <c r="AA984" s="252" t="str">
        <f>IF((($A984="")*($B984=""))+((MID($Y984,1,4)&lt;&gt;"Wahl")*(Deckblatt!$C$14='WK-Vorlagen'!$C$82))+(Deckblatt!$C$14&lt;&gt;'WK-Vorlagen'!$C$82),"",IF(ISERROR(MATCH(VALUE(MID(G984,1,2)),Schwierigkeitsstufen!$G$7:$G$19,0)),"Gerät falsch",LOOKUP(VALUE(MID(G984,1,2)),Schwierigkeitsstufen!$G$7:$G$19,Schwierigkeitsstufen!$H$7:$H$19)))</f>
        <v/>
      </c>
      <c r="AB984" s="250" t="str">
        <f>IF((($A984="")*($B984=""))+((MID($Y984,1,4)&lt;&gt;"Wahl")*(Deckblatt!$C$14='WK-Vorlagen'!$C$82))+(Deckblatt!$C$14&lt;&gt;'WK-Vorlagen'!$C$82),"",IF(ISERROR(MATCH(VALUE(MID(H984,1,2)),Schwierigkeitsstufen!$G$7:$G$19,0)),"Gerät falsch",LOOKUP(VALUE(MID(H984,1,2)),Schwierigkeitsstufen!$G$7:$G$19,Schwierigkeitsstufen!$H$7:$H$19)))</f>
        <v/>
      </c>
      <c r="AC984" s="250" t="str">
        <f>IF((($A984="")*($B984=""))+((MID($Y984,1,4)&lt;&gt;"Wahl")*(Deckblatt!$C$14='WK-Vorlagen'!$C$82))+(Deckblatt!$C$14&lt;&gt;'WK-Vorlagen'!$C$82),"",IF(ISERROR(MATCH(VALUE(MID(I984,1,2)),Schwierigkeitsstufen!$G$7:$G$19,0)),"Gerät falsch",LOOKUP(VALUE(MID(I984,1,2)),Schwierigkeitsstufen!$G$7:$G$19,Schwierigkeitsstufen!$H$7:$H$19)))</f>
        <v/>
      </c>
      <c r="AD984" s="251" t="str">
        <f>IF((($A984="")*($B984=""))+((MID($Y984,1,4)&lt;&gt;"Wahl")*(Deckblatt!$C$14='WK-Vorlagen'!$C$82))+(Deckblatt!$C$14&lt;&gt;'WK-Vorlagen'!$C$82),"",IF(ISERROR(MATCH(VALUE(MID(J984,1,2)),Schwierigkeitsstufen!$G$7:$G$19,0)),"Gerät falsch",LOOKUP(VALUE(MID(J984,1,2)),Schwierigkeitsstufen!$G$7:$G$19,Schwierigkeitsstufen!$H$7:$H$19)))</f>
        <v/>
      </c>
      <c r="AE984" s="211"/>
      <c r="AG984" s="221" t="str">
        <f t="shared" si="135"/>
        <v/>
      </c>
      <c r="AH984" s="222" t="str">
        <f t="shared" si="137"/>
        <v/>
      </c>
      <c r="AI984" s="220">
        <f t="shared" si="142"/>
        <v>4</v>
      </c>
      <c r="AJ984" s="222">
        <f t="shared" si="138"/>
        <v>0</v>
      </c>
      <c r="AK984" s="299" t="str">
        <f>IF(ISERROR(LOOKUP(E984,WKNrListe,Übersicht!$R$7:$R$46)),"-",LOOKUP(E984,WKNrListe,Übersicht!$R$7:$R$46))</f>
        <v>-</v>
      </c>
      <c r="AL984" s="299" t="str">
        <f t="shared" si="141"/>
        <v>-</v>
      </c>
      <c r="AM984" s="303"/>
      <c r="AN984" s="174" t="str">
        <f t="shared" si="134"/>
        <v>Leer</v>
      </c>
    </row>
    <row r="985" spans="1:40" s="174" customFormat="1" ht="15" customHeight="1">
      <c r="A985" s="63"/>
      <c r="B985" s="63"/>
      <c r="C985" s="84"/>
      <c r="D985" s="85"/>
      <c r="E985" s="62"/>
      <c r="F985" s="62"/>
      <c r="G985" s="62"/>
      <c r="H985" s="62"/>
      <c r="I985" s="62"/>
      <c r="J985" s="62"/>
      <c r="K985" s="62"/>
      <c r="L985" s="62"/>
      <c r="M985" s="62"/>
      <c r="N985" s="62"/>
      <c r="O985" s="62"/>
      <c r="P985" s="62"/>
      <c r="Q985" s="62"/>
      <c r="R985" s="62"/>
      <c r="S985" s="258"/>
      <c r="T985" s="248" t="str">
        <f t="shared" si="139"/>
        <v/>
      </c>
      <c r="U985" s="249" t="str">
        <f t="shared" si="140"/>
        <v/>
      </c>
      <c r="V985" s="294" t="str">
        <f t="shared" si="136"/>
        <v/>
      </c>
      <c r="W985" s="294" t="str">
        <f>IF(((E985="")+(F985="")),"",IF(VLOOKUP(F985,Mannschaften!$A$1:$B$54,2,FALSE)&lt;&gt;E985,"Reiter Mannschaften füllen",""))</f>
        <v/>
      </c>
      <c r="X985" s="248" t="str">
        <f>IF(ISBLANK(C985),"",IF((U985&gt;(LOOKUP(E985,WKNrListe,Übersicht!$O$7:$O$46)))+(U985&lt;(LOOKUP(E985,WKNrListe,Übersicht!$P$7:$P$46))),"JG falsch",""))</f>
        <v/>
      </c>
      <c r="Y985" s="255" t="str">
        <f>IF((A985="")*(B985=""),"",IF(ISERROR(MATCH(E985,WKNrListe,0)),"WK falsch",LOOKUP(E985,WKNrListe,Übersicht!$B$7:$B$46)))</f>
        <v/>
      </c>
      <c r="Z985" s="269" t="str">
        <f>IF(((AJ985=0)*(AH985&lt;&gt;"")*(AK985="-"))+((AJ985&lt;&gt;0)*(AH985&lt;&gt;"")*(AK985="-")),IF(AG985="X",Übersicht!$C$70,Übersicht!$C$69),"-")</f>
        <v>-</v>
      </c>
      <c r="AA985" s="252" t="str">
        <f>IF((($A985="")*($B985=""))+((MID($Y985,1,4)&lt;&gt;"Wahl")*(Deckblatt!$C$14='WK-Vorlagen'!$C$82))+(Deckblatt!$C$14&lt;&gt;'WK-Vorlagen'!$C$82),"",IF(ISERROR(MATCH(VALUE(MID(G985,1,2)),Schwierigkeitsstufen!$G$7:$G$19,0)),"Gerät falsch",LOOKUP(VALUE(MID(G985,1,2)),Schwierigkeitsstufen!$G$7:$G$19,Schwierigkeitsstufen!$H$7:$H$19)))</f>
        <v/>
      </c>
      <c r="AB985" s="250" t="str">
        <f>IF((($A985="")*($B985=""))+((MID($Y985,1,4)&lt;&gt;"Wahl")*(Deckblatt!$C$14='WK-Vorlagen'!$C$82))+(Deckblatt!$C$14&lt;&gt;'WK-Vorlagen'!$C$82),"",IF(ISERROR(MATCH(VALUE(MID(H985,1,2)),Schwierigkeitsstufen!$G$7:$G$19,0)),"Gerät falsch",LOOKUP(VALUE(MID(H985,1,2)),Schwierigkeitsstufen!$G$7:$G$19,Schwierigkeitsstufen!$H$7:$H$19)))</f>
        <v/>
      </c>
      <c r="AC985" s="250" t="str">
        <f>IF((($A985="")*($B985=""))+((MID($Y985,1,4)&lt;&gt;"Wahl")*(Deckblatt!$C$14='WK-Vorlagen'!$C$82))+(Deckblatt!$C$14&lt;&gt;'WK-Vorlagen'!$C$82),"",IF(ISERROR(MATCH(VALUE(MID(I985,1,2)),Schwierigkeitsstufen!$G$7:$G$19,0)),"Gerät falsch",LOOKUP(VALUE(MID(I985,1,2)),Schwierigkeitsstufen!$G$7:$G$19,Schwierigkeitsstufen!$H$7:$H$19)))</f>
        <v/>
      </c>
      <c r="AD985" s="251" t="str">
        <f>IF((($A985="")*($B985=""))+((MID($Y985,1,4)&lt;&gt;"Wahl")*(Deckblatt!$C$14='WK-Vorlagen'!$C$82))+(Deckblatt!$C$14&lt;&gt;'WK-Vorlagen'!$C$82),"",IF(ISERROR(MATCH(VALUE(MID(J985,1,2)),Schwierigkeitsstufen!$G$7:$G$19,0)),"Gerät falsch",LOOKUP(VALUE(MID(J985,1,2)),Schwierigkeitsstufen!$G$7:$G$19,Schwierigkeitsstufen!$H$7:$H$19)))</f>
        <v/>
      </c>
      <c r="AE985" s="211"/>
      <c r="AG985" s="221" t="str">
        <f t="shared" si="135"/>
        <v/>
      </c>
      <c r="AH985" s="222" t="str">
        <f t="shared" si="137"/>
        <v/>
      </c>
      <c r="AI985" s="220">
        <f t="shared" si="142"/>
        <v>4</v>
      </c>
      <c r="AJ985" s="222">
        <f t="shared" si="138"/>
        <v>0</v>
      </c>
      <c r="AK985" s="299" t="str">
        <f>IF(ISERROR(LOOKUP(E985,WKNrListe,Übersicht!$R$7:$R$46)),"-",LOOKUP(E985,WKNrListe,Übersicht!$R$7:$R$46))</f>
        <v>-</v>
      </c>
      <c r="AL985" s="299" t="str">
        <f t="shared" si="141"/>
        <v>-</v>
      </c>
      <c r="AM985" s="303"/>
      <c r="AN985" s="174" t="str">
        <f t="shared" si="134"/>
        <v>Leer</v>
      </c>
    </row>
    <row r="986" spans="1:40" s="174" customFormat="1" ht="15" customHeight="1">
      <c r="A986" s="63"/>
      <c r="B986" s="63"/>
      <c r="C986" s="84"/>
      <c r="D986" s="85"/>
      <c r="E986" s="62"/>
      <c r="F986" s="62"/>
      <c r="G986" s="62"/>
      <c r="H986" s="62"/>
      <c r="I986" s="62"/>
      <c r="J986" s="62"/>
      <c r="K986" s="62"/>
      <c r="L986" s="62"/>
      <c r="M986" s="62"/>
      <c r="N986" s="62"/>
      <c r="O986" s="62"/>
      <c r="P986" s="62"/>
      <c r="Q986" s="62"/>
      <c r="R986" s="62"/>
      <c r="S986" s="258"/>
      <c r="T986" s="248" t="str">
        <f t="shared" si="139"/>
        <v/>
      </c>
      <c r="U986" s="249" t="str">
        <f t="shared" si="140"/>
        <v/>
      </c>
      <c r="V986" s="294" t="str">
        <f t="shared" si="136"/>
        <v/>
      </c>
      <c r="W986" s="294" t="str">
        <f>IF(((E986="")+(F986="")),"",IF(VLOOKUP(F986,Mannschaften!$A$1:$B$54,2,FALSE)&lt;&gt;E986,"Reiter Mannschaften füllen",""))</f>
        <v/>
      </c>
      <c r="X986" s="248" t="str">
        <f>IF(ISBLANK(C986),"",IF((U986&gt;(LOOKUP(E986,WKNrListe,Übersicht!$O$7:$O$46)))+(U986&lt;(LOOKUP(E986,WKNrListe,Übersicht!$P$7:$P$46))),"JG falsch",""))</f>
        <v/>
      </c>
      <c r="Y986" s="255" t="str">
        <f>IF((A986="")*(B986=""),"",IF(ISERROR(MATCH(E986,WKNrListe,0)),"WK falsch",LOOKUP(E986,WKNrListe,Übersicht!$B$7:$B$46)))</f>
        <v/>
      </c>
      <c r="Z986" s="269" t="str">
        <f>IF(((AJ986=0)*(AH986&lt;&gt;"")*(AK986="-"))+((AJ986&lt;&gt;0)*(AH986&lt;&gt;"")*(AK986="-")),IF(AG986="X",Übersicht!$C$70,Übersicht!$C$69),"-")</f>
        <v>-</v>
      </c>
      <c r="AA986" s="252" t="str">
        <f>IF((($A986="")*($B986=""))+((MID($Y986,1,4)&lt;&gt;"Wahl")*(Deckblatt!$C$14='WK-Vorlagen'!$C$82))+(Deckblatt!$C$14&lt;&gt;'WK-Vorlagen'!$C$82),"",IF(ISERROR(MATCH(VALUE(MID(G986,1,2)),Schwierigkeitsstufen!$G$7:$G$19,0)),"Gerät falsch",LOOKUP(VALUE(MID(G986,1,2)),Schwierigkeitsstufen!$G$7:$G$19,Schwierigkeitsstufen!$H$7:$H$19)))</f>
        <v/>
      </c>
      <c r="AB986" s="250" t="str">
        <f>IF((($A986="")*($B986=""))+((MID($Y986,1,4)&lt;&gt;"Wahl")*(Deckblatt!$C$14='WK-Vorlagen'!$C$82))+(Deckblatt!$C$14&lt;&gt;'WK-Vorlagen'!$C$82),"",IF(ISERROR(MATCH(VALUE(MID(H986,1,2)),Schwierigkeitsstufen!$G$7:$G$19,0)),"Gerät falsch",LOOKUP(VALUE(MID(H986,1,2)),Schwierigkeitsstufen!$G$7:$G$19,Schwierigkeitsstufen!$H$7:$H$19)))</f>
        <v/>
      </c>
      <c r="AC986" s="250" t="str">
        <f>IF((($A986="")*($B986=""))+((MID($Y986,1,4)&lt;&gt;"Wahl")*(Deckblatt!$C$14='WK-Vorlagen'!$C$82))+(Deckblatt!$C$14&lt;&gt;'WK-Vorlagen'!$C$82),"",IF(ISERROR(MATCH(VALUE(MID(I986,1,2)),Schwierigkeitsstufen!$G$7:$G$19,0)),"Gerät falsch",LOOKUP(VALUE(MID(I986,1,2)),Schwierigkeitsstufen!$G$7:$G$19,Schwierigkeitsstufen!$H$7:$H$19)))</f>
        <v/>
      </c>
      <c r="AD986" s="251" t="str">
        <f>IF((($A986="")*($B986=""))+((MID($Y986,1,4)&lt;&gt;"Wahl")*(Deckblatt!$C$14='WK-Vorlagen'!$C$82))+(Deckblatt!$C$14&lt;&gt;'WK-Vorlagen'!$C$82),"",IF(ISERROR(MATCH(VALUE(MID(J986,1,2)),Schwierigkeitsstufen!$G$7:$G$19,0)),"Gerät falsch",LOOKUP(VALUE(MID(J986,1,2)),Schwierigkeitsstufen!$G$7:$G$19,Schwierigkeitsstufen!$H$7:$H$19)))</f>
        <v/>
      </c>
      <c r="AE986" s="211"/>
      <c r="AG986" s="221" t="str">
        <f t="shared" si="135"/>
        <v/>
      </c>
      <c r="AH986" s="222" t="str">
        <f t="shared" si="137"/>
        <v/>
      </c>
      <c r="AI986" s="220">
        <f t="shared" si="142"/>
        <v>4</v>
      </c>
      <c r="AJ986" s="222">
        <f t="shared" si="138"/>
        <v>0</v>
      </c>
      <c r="AK986" s="299" t="str">
        <f>IF(ISERROR(LOOKUP(E986,WKNrListe,Übersicht!$R$7:$R$46)),"-",LOOKUP(E986,WKNrListe,Übersicht!$R$7:$R$46))</f>
        <v>-</v>
      </c>
      <c r="AL986" s="299" t="str">
        <f t="shared" si="141"/>
        <v>-</v>
      </c>
      <c r="AM986" s="303"/>
      <c r="AN986" s="174" t="str">
        <f t="shared" si="134"/>
        <v>Leer</v>
      </c>
    </row>
    <row r="987" spans="1:40" s="174" customFormat="1" ht="15" customHeight="1">
      <c r="A987" s="63"/>
      <c r="B987" s="63"/>
      <c r="C987" s="84"/>
      <c r="D987" s="85"/>
      <c r="E987" s="62"/>
      <c r="F987" s="62"/>
      <c r="G987" s="62"/>
      <c r="H987" s="62"/>
      <c r="I987" s="62"/>
      <c r="J987" s="62"/>
      <c r="K987" s="62"/>
      <c r="L987" s="62"/>
      <c r="M987" s="62"/>
      <c r="N987" s="62"/>
      <c r="O987" s="62"/>
      <c r="P987" s="62"/>
      <c r="Q987" s="62"/>
      <c r="R987" s="62"/>
      <c r="S987" s="258"/>
      <c r="T987" s="248" t="str">
        <f t="shared" si="139"/>
        <v/>
      </c>
      <c r="U987" s="249" t="str">
        <f t="shared" si="140"/>
        <v/>
      </c>
      <c r="V987" s="294" t="str">
        <f t="shared" si="136"/>
        <v/>
      </c>
      <c r="W987" s="294" t="str">
        <f>IF(((E987="")+(F987="")),"",IF(VLOOKUP(F987,Mannschaften!$A$1:$B$54,2,FALSE)&lt;&gt;E987,"Reiter Mannschaften füllen",""))</f>
        <v/>
      </c>
      <c r="X987" s="248" t="str">
        <f>IF(ISBLANK(C987),"",IF((U987&gt;(LOOKUP(E987,WKNrListe,Übersicht!$O$7:$O$46)))+(U987&lt;(LOOKUP(E987,WKNrListe,Übersicht!$P$7:$P$46))),"JG falsch",""))</f>
        <v/>
      </c>
      <c r="Y987" s="255" t="str">
        <f>IF((A987="")*(B987=""),"",IF(ISERROR(MATCH(E987,WKNrListe,0)),"WK falsch",LOOKUP(E987,WKNrListe,Übersicht!$B$7:$B$46)))</f>
        <v/>
      </c>
      <c r="Z987" s="269" t="str">
        <f>IF(((AJ987=0)*(AH987&lt;&gt;"")*(AK987="-"))+((AJ987&lt;&gt;0)*(AH987&lt;&gt;"")*(AK987="-")),IF(AG987="X",Übersicht!$C$70,Übersicht!$C$69),"-")</f>
        <v>-</v>
      </c>
      <c r="AA987" s="252" t="str">
        <f>IF((($A987="")*($B987=""))+((MID($Y987,1,4)&lt;&gt;"Wahl")*(Deckblatt!$C$14='WK-Vorlagen'!$C$82))+(Deckblatt!$C$14&lt;&gt;'WK-Vorlagen'!$C$82),"",IF(ISERROR(MATCH(VALUE(MID(G987,1,2)),Schwierigkeitsstufen!$G$7:$G$19,0)),"Gerät falsch",LOOKUP(VALUE(MID(G987,1,2)),Schwierigkeitsstufen!$G$7:$G$19,Schwierigkeitsstufen!$H$7:$H$19)))</f>
        <v/>
      </c>
      <c r="AB987" s="250" t="str">
        <f>IF((($A987="")*($B987=""))+((MID($Y987,1,4)&lt;&gt;"Wahl")*(Deckblatt!$C$14='WK-Vorlagen'!$C$82))+(Deckblatt!$C$14&lt;&gt;'WK-Vorlagen'!$C$82),"",IF(ISERROR(MATCH(VALUE(MID(H987,1,2)),Schwierigkeitsstufen!$G$7:$G$19,0)),"Gerät falsch",LOOKUP(VALUE(MID(H987,1,2)),Schwierigkeitsstufen!$G$7:$G$19,Schwierigkeitsstufen!$H$7:$H$19)))</f>
        <v/>
      </c>
      <c r="AC987" s="250" t="str">
        <f>IF((($A987="")*($B987=""))+((MID($Y987,1,4)&lt;&gt;"Wahl")*(Deckblatt!$C$14='WK-Vorlagen'!$C$82))+(Deckblatt!$C$14&lt;&gt;'WK-Vorlagen'!$C$82),"",IF(ISERROR(MATCH(VALUE(MID(I987,1,2)),Schwierigkeitsstufen!$G$7:$G$19,0)),"Gerät falsch",LOOKUP(VALUE(MID(I987,1,2)),Schwierigkeitsstufen!$G$7:$G$19,Schwierigkeitsstufen!$H$7:$H$19)))</f>
        <v/>
      </c>
      <c r="AD987" s="251" t="str">
        <f>IF((($A987="")*($B987=""))+((MID($Y987,1,4)&lt;&gt;"Wahl")*(Deckblatt!$C$14='WK-Vorlagen'!$C$82))+(Deckblatt!$C$14&lt;&gt;'WK-Vorlagen'!$C$82),"",IF(ISERROR(MATCH(VALUE(MID(J987,1,2)),Schwierigkeitsstufen!$G$7:$G$19,0)),"Gerät falsch",LOOKUP(VALUE(MID(J987,1,2)),Schwierigkeitsstufen!$G$7:$G$19,Schwierigkeitsstufen!$H$7:$H$19)))</f>
        <v/>
      </c>
      <c r="AE987" s="211"/>
      <c r="AG987" s="221" t="str">
        <f t="shared" si="135"/>
        <v/>
      </c>
      <c r="AH987" s="222" t="str">
        <f t="shared" si="137"/>
        <v/>
      </c>
      <c r="AI987" s="220">
        <f t="shared" si="142"/>
        <v>4</v>
      </c>
      <c r="AJ987" s="222">
        <f t="shared" si="138"/>
        <v>0</v>
      </c>
      <c r="AK987" s="299" t="str">
        <f>IF(ISERROR(LOOKUP(E987,WKNrListe,Übersicht!$R$7:$R$46)),"-",LOOKUP(E987,WKNrListe,Übersicht!$R$7:$R$46))</f>
        <v>-</v>
      </c>
      <c r="AL987" s="299" t="str">
        <f t="shared" si="141"/>
        <v>-</v>
      </c>
      <c r="AM987" s="303"/>
      <c r="AN987" s="174" t="str">
        <f t="shared" si="134"/>
        <v>Leer</v>
      </c>
    </row>
    <row r="988" spans="1:40" s="174" customFormat="1" ht="15" customHeight="1">
      <c r="A988" s="63"/>
      <c r="B988" s="63"/>
      <c r="C988" s="84"/>
      <c r="D988" s="85"/>
      <c r="E988" s="62"/>
      <c r="F988" s="62"/>
      <c r="G988" s="62"/>
      <c r="H988" s="62"/>
      <c r="I988" s="62"/>
      <c r="J988" s="62"/>
      <c r="K988" s="62"/>
      <c r="L988" s="62"/>
      <c r="M988" s="62"/>
      <c r="N988" s="62"/>
      <c r="O988" s="62"/>
      <c r="P988" s="62"/>
      <c r="Q988" s="62"/>
      <c r="R988" s="62"/>
      <c r="S988" s="258"/>
      <c r="T988" s="248" t="str">
        <f t="shared" si="139"/>
        <v/>
      </c>
      <c r="U988" s="249" t="str">
        <f t="shared" si="140"/>
        <v/>
      </c>
      <c r="V988" s="294" t="str">
        <f t="shared" si="136"/>
        <v/>
      </c>
      <c r="W988" s="294" t="str">
        <f>IF(((E988="")+(F988="")),"",IF(VLOOKUP(F988,Mannschaften!$A$1:$B$54,2,FALSE)&lt;&gt;E988,"Reiter Mannschaften füllen",""))</f>
        <v/>
      </c>
      <c r="X988" s="248" t="str">
        <f>IF(ISBLANK(C988),"",IF((U988&gt;(LOOKUP(E988,WKNrListe,Übersicht!$O$7:$O$46)))+(U988&lt;(LOOKUP(E988,WKNrListe,Übersicht!$P$7:$P$46))),"JG falsch",""))</f>
        <v/>
      </c>
      <c r="Y988" s="255" t="str">
        <f>IF((A988="")*(B988=""),"",IF(ISERROR(MATCH(E988,WKNrListe,0)),"WK falsch",LOOKUP(E988,WKNrListe,Übersicht!$B$7:$B$46)))</f>
        <v/>
      </c>
      <c r="Z988" s="269" t="str">
        <f>IF(((AJ988=0)*(AH988&lt;&gt;"")*(AK988="-"))+((AJ988&lt;&gt;0)*(AH988&lt;&gt;"")*(AK988="-")),IF(AG988="X",Übersicht!$C$70,Übersicht!$C$69),"-")</f>
        <v>-</v>
      </c>
      <c r="AA988" s="252" t="str">
        <f>IF((($A988="")*($B988=""))+((MID($Y988,1,4)&lt;&gt;"Wahl")*(Deckblatt!$C$14='WK-Vorlagen'!$C$82))+(Deckblatt!$C$14&lt;&gt;'WK-Vorlagen'!$C$82),"",IF(ISERROR(MATCH(VALUE(MID(G988,1,2)),Schwierigkeitsstufen!$G$7:$G$19,0)),"Gerät falsch",LOOKUP(VALUE(MID(G988,1,2)),Schwierigkeitsstufen!$G$7:$G$19,Schwierigkeitsstufen!$H$7:$H$19)))</f>
        <v/>
      </c>
      <c r="AB988" s="250" t="str">
        <f>IF((($A988="")*($B988=""))+((MID($Y988,1,4)&lt;&gt;"Wahl")*(Deckblatt!$C$14='WK-Vorlagen'!$C$82))+(Deckblatt!$C$14&lt;&gt;'WK-Vorlagen'!$C$82),"",IF(ISERROR(MATCH(VALUE(MID(H988,1,2)),Schwierigkeitsstufen!$G$7:$G$19,0)),"Gerät falsch",LOOKUP(VALUE(MID(H988,1,2)),Schwierigkeitsstufen!$G$7:$G$19,Schwierigkeitsstufen!$H$7:$H$19)))</f>
        <v/>
      </c>
      <c r="AC988" s="250" t="str">
        <f>IF((($A988="")*($B988=""))+((MID($Y988,1,4)&lt;&gt;"Wahl")*(Deckblatt!$C$14='WK-Vorlagen'!$C$82))+(Deckblatt!$C$14&lt;&gt;'WK-Vorlagen'!$C$82),"",IF(ISERROR(MATCH(VALUE(MID(I988,1,2)),Schwierigkeitsstufen!$G$7:$G$19,0)),"Gerät falsch",LOOKUP(VALUE(MID(I988,1,2)),Schwierigkeitsstufen!$G$7:$G$19,Schwierigkeitsstufen!$H$7:$H$19)))</f>
        <v/>
      </c>
      <c r="AD988" s="251" t="str">
        <f>IF((($A988="")*($B988=""))+((MID($Y988,1,4)&lt;&gt;"Wahl")*(Deckblatt!$C$14='WK-Vorlagen'!$C$82))+(Deckblatt!$C$14&lt;&gt;'WK-Vorlagen'!$C$82),"",IF(ISERROR(MATCH(VALUE(MID(J988,1,2)),Schwierigkeitsstufen!$G$7:$G$19,0)),"Gerät falsch",LOOKUP(VALUE(MID(J988,1,2)),Schwierigkeitsstufen!$G$7:$G$19,Schwierigkeitsstufen!$H$7:$H$19)))</f>
        <v/>
      </c>
      <c r="AE988" s="211"/>
      <c r="AG988" s="221" t="str">
        <f t="shared" si="135"/>
        <v/>
      </c>
      <c r="AH988" s="222" t="str">
        <f t="shared" si="137"/>
        <v/>
      </c>
      <c r="AI988" s="220">
        <f t="shared" si="142"/>
        <v>4</v>
      </c>
      <c r="AJ988" s="222">
        <f t="shared" si="138"/>
        <v>0</v>
      </c>
      <c r="AK988" s="299" t="str">
        <f>IF(ISERROR(LOOKUP(E988,WKNrListe,Übersicht!$R$7:$R$46)),"-",LOOKUP(E988,WKNrListe,Übersicht!$R$7:$R$46))</f>
        <v>-</v>
      </c>
      <c r="AL988" s="299" t="str">
        <f t="shared" si="141"/>
        <v>-</v>
      </c>
      <c r="AM988" s="303"/>
      <c r="AN988" s="174" t="str">
        <f t="shared" si="134"/>
        <v>Leer</v>
      </c>
    </row>
    <row r="989" spans="1:40" s="174" customFormat="1" ht="15" customHeight="1">
      <c r="A989" s="63"/>
      <c r="B989" s="63"/>
      <c r="C989" s="84"/>
      <c r="D989" s="85"/>
      <c r="E989" s="62"/>
      <c r="F989" s="62"/>
      <c r="G989" s="62"/>
      <c r="H989" s="62"/>
      <c r="I989" s="62"/>
      <c r="J989" s="62"/>
      <c r="K989" s="62"/>
      <c r="L989" s="62"/>
      <c r="M989" s="62"/>
      <c r="N989" s="62"/>
      <c r="O989" s="62"/>
      <c r="P989" s="62"/>
      <c r="Q989" s="62"/>
      <c r="R989" s="62"/>
      <c r="S989" s="258"/>
      <c r="T989" s="248" t="str">
        <f t="shared" si="139"/>
        <v/>
      </c>
      <c r="U989" s="249" t="str">
        <f t="shared" si="140"/>
        <v/>
      </c>
      <c r="V989" s="294" t="str">
        <f t="shared" si="136"/>
        <v/>
      </c>
      <c r="W989" s="294" t="str">
        <f>IF(((E989="")+(F989="")),"",IF(VLOOKUP(F989,Mannschaften!$A$1:$B$54,2,FALSE)&lt;&gt;E989,"Reiter Mannschaften füllen",""))</f>
        <v/>
      </c>
      <c r="X989" s="248" t="str">
        <f>IF(ISBLANK(C989),"",IF((U989&gt;(LOOKUP(E989,WKNrListe,Übersicht!$O$7:$O$46)))+(U989&lt;(LOOKUP(E989,WKNrListe,Übersicht!$P$7:$P$46))),"JG falsch",""))</f>
        <v/>
      </c>
      <c r="Y989" s="255" t="str">
        <f>IF((A989="")*(B989=""),"",IF(ISERROR(MATCH(E989,WKNrListe,0)),"WK falsch",LOOKUP(E989,WKNrListe,Übersicht!$B$7:$B$46)))</f>
        <v/>
      </c>
      <c r="Z989" s="269" t="str">
        <f>IF(((AJ989=0)*(AH989&lt;&gt;"")*(AK989="-"))+((AJ989&lt;&gt;0)*(AH989&lt;&gt;"")*(AK989="-")),IF(AG989="X",Übersicht!$C$70,Übersicht!$C$69),"-")</f>
        <v>-</v>
      </c>
      <c r="AA989" s="252" t="str">
        <f>IF((($A989="")*($B989=""))+((MID($Y989,1,4)&lt;&gt;"Wahl")*(Deckblatt!$C$14='WK-Vorlagen'!$C$82))+(Deckblatt!$C$14&lt;&gt;'WK-Vorlagen'!$C$82),"",IF(ISERROR(MATCH(VALUE(MID(G989,1,2)),Schwierigkeitsstufen!$G$7:$G$19,0)),"Gerät falsch",LOOKUP(VALUE(MID(G989,1,2)),Schwierigkeitsstufen!$G$7:$G$19,Schwierigkeitsstufen!$H$7:$H$19)))</f>
        <v/>
      </c>
      <c r="AB989" s="250" t="str">
        <f>IF((($A989="")*($B989=""))+((MID($Y989,1,4)&lt;&gt;"Wahl")*(Deckblatt!$C$14='WK-Vorlagen'!$C$82))+(Deckblatt!$C$14&lt;&gt;'WK-Vorlagen'!$C$82),"",IF(ISERROR(MATCH(VALUE(MID(H989,1,2)),Schwierigkeitsstufen!$G$7:$G$19,0)),"Gerät falsch",LOOKUP(VALUE(MID(H989,1,2)),Schwierigkeitsstufen!$G$7:$G$19,Schwierigkeitsstufen!$H$7:$H$19)))</f>
        <v/>
      </c>
      <c r="AC989" s="250" t="str">
        <f>IF((($A989="")*($B989=""))+((MID($Y989,1,4)&lt;&gt;"Wahl")*(Deckblatt!$C$14='WK-Vorlagen'!$C$82))+(Deckblatt!$C$14&lt;&gt;'WK-Vorlagen'!$C$82),"",IF(ISERROR(MATCH(VALUE(MID(I989,1,2)),Schwierigkeitsstufen!$G$7:$G$19,0)),"Gerät falsch",LOOKUP(VALUE(MID(I989,1,2)),Schwierigkeitsstufen!$G$7:$G$19,Schwierigkeitsstufen!$H$7:$H$19)))</f>
        <v/>
      </c>
      <c r="AD989" s="251" t="str">
        <f>IF((($A989="")*($B989=""))+((MID($Y989,1,4)&lt;&gt;"Wahl")*(Deckblatt!$C$14='WK-Vorlagen'!$C$82))+(Deckblatt!$C$14&lt;&gt;'WK-Vorlagen'!$C$82),"",IF(ISERROR(MATCH(VALUE(MID(J989,1,2)),Schwierigkeitsstufen!$G$7:$G$19,0)),"Gerät falsch",LOOKUP(VALUE(MID(J989,1,2)),Schwierigkeitsstufen!$G$7:$G$19,Schwierigkeitsstufen!$H$7:$H$19)))</f>
        <v/>
      </c>
      <c r="AE989" s="211"/>
      <c r="AG989" s="221" t="str">
        <f t="shared" si="135"/>
        <v/>
      </c>
      <c r="AH989" s="222" t="str">
        <f t="shared" si="137"/>
        <v/>
      </c>
      <c r="AI989" s="220">
        <f t="shared" si="142"/>
        <v>4</v>
      </c>
      <c r="AJ989" s="222">
        <f t="shared" si="138"/>
        <v>0</v>
      </c>
      <c r="AK989" s="299" t="str">
        <f>IF(ISERROR(LOOKUP(E989,WKNrListe,Übersicht!$R$7:$R$46)),"-",LOOKUP(E989,WKNrListe,Übersicht!$R$7:$R$46))</f>
        <v>-</v>
      </c>
      <c r="AL989" s="299" t="str">
        <f t="shared" si="141"/>
        <v>-</v>
      </c>
      <c r="AM989" s="303"/>
      <c r="AN989" s="174" t="str">
        <f t="shared" si="134"/>
        <v>Leer</v>
      </c>
    </row>
    <row r="990" spans="1:40" s="174" customFormat="1" ht="15" customHeight="1">
      <c r="A990" s="63"/>
      <c r="B990" s="63"/>
      <c r="C990" s="84"/>
      <c r="D990" s="85"/>
      <c r="E990" s="62"/>
      <c r="F990" s="62"/>
      <c r="G990" s="62"/>
      <c r="H990" s="62"/>
      <c r="I990" s="62"/>
      <c r="J990" s="62"/>
      <c r="K990" s="62"/>
      <c r="L990" s="62"/>
      <c r="M990" s="62"/>
      <c r="N990" s="62"/>
      <c r="O990" s="62"/>
      <c r="P990" s="62"/>
      <c r="Q990" s="62"/>
      <c r="R990" s="62"/>
      <c r="S990" s="258"/>
      <c r="T990" s="248" t="str">
        <f t="shared" si="139"/>
        <v/>
      </c>
      <c r="U990" s="249" t="str">
        <f t="shared" si="140"/>
        <v/>
      </c>
      <c r="V990" s="294" t="str">
        <f t="shared" si="136"/>
        <v/>
      </c>
      <c r="W990" s="294" t="str">
        <f>IF(((E990="")+(F990="")),"",IF(VLOOKUP(F990,Mannschaften!$A$1:$B$54,2,FALSE)&lt;&gt;E990,"Reiter Mannschaften füllen",""))</f>
        <v/>
      </c>
      <c r="X990" s="248" t="str">
        <f>IF(ISBLANK(C990),"",IF((U990&gt;(LOOKUP(E990,WKNrListe,Übersicht!$O$7:$O$46)))+(U990&lt;(LOOKUP(E990,WKNrListe,Übersicht!$P$7:$P$46))),"JG falsch",""))</f>
        <v/>
      </c>
      <c r="Y990" s="255" t="str">
        <f>IF((A990="")*(B990=""),"",IF(ISERROR(MATCH(E990,WKNrListe,0)),"WK falsch",LOOKUP(E990,WKNrListe,Übersicht!$B$7:$B$46)))</f>
        <v/>
      </c>
      <c r="Z990" s="269" t="str">
        <f>IF(((AJ990=0)*(AH990&lt;&gt;"")*(AK990="-"))+((AJ990&lt;&gt;0)*(AH990&lt;&gt;"")*(AK990="-")),IF(AG990="X",Übersicht!$C$70,Übersicht!$C$69),"-")</f>
        <v>-</v>
      </c>
      <c r="AA990" s="252" t="str">
        <f>IF((($A990="")*($B990=""))+((MID($Y990,1,4)&lt;&gt;"Wahl")*(Deckblatt!$C$14='WK-Vorlagen'!$C$82))+(Deckblatt!$C$14&lt;&gt;'WK-Vorlagen'!$C$82),"",IF(ISERROR(MATCH(VALUE(MID(G990,1,2)),Schwierigkeitsstufen!$G$7:$G$19,0)),"Gerät falsch",LOOKUP(VALUE(MID(G990,1,2)),Schwierigkeitsstufen!$G$7:$G$19,Schwierigkeitsstufen!$H$7:$H$19)))</f>
        <v/>
      </c>
      <c r="AB990" s="250" t="str">
        <f>IF((($A990="")*($B990=""))+((MID($Y990,1,4)&lt;&gt;"Wahl")*(Deckblatt!$C$14='WK-Vorlagen'!$C$82))+(Deckblatt!$C$14&lt;&gt;'WK-Vorlagen'!$C$82),"",IF(ISERROR(MATCH(VALUE(MID(H990,1,2)),Schwierigkeitsstufen!$G$7:$G$19,0)),"Gerät falsch",LOOKUP(VALUE(MID(H990,1,2)),Schwierigkeitsstufen!$G$7:$G$19,Schwierigkeitsstufen!$H$7:$H$19)))</f>
        <v/>
      </c>
      <c r="AC990" s="250" t="str">
        <f>IF((($A990="")*($B990=""))+((MID($Y990,1,4)&lt;&gt;"Wahl")*(Deckblatt!$C$14='WK-Vorlagen'!$C$82))+(Deckblatt!$C$14&lt;&gt;'WK-Vorlagen'!$C$82),"",IF(ISERROR(MATCH(VALUE(MID(I990,1,2)),Schwierigkeitsstufen!$G$7:$G$19,0)),"Gerät falsch",LOOKUP(VALUE(MID(I990,1,2)),Schwierigkeitsstufen!$G$7:$G$19,Schwierigkeitsstufen!$H$7:$H$19)))</f>
        <v/>
      </c>
      <c r="AD990" s="251" t="str">
        <f>IF((($A990="")*($B990=""))+((MID($Y990,1,4)&lt;&gt;"Wahl")*(Deckblatt!$C$14='WK-Vorlagen'!$C$82))+(Deckblatt!$C$14&lt;&gt;'WK-Vorlagen'!$C$82),"",IF(ISERROR(MATCH(VALUE(MID(J990,1,2)),Schwierigkeitsstufen!$G$7:$G$19,0)),"Gerät falsch",LOOKUP(VALUE(MID(J990,1,2)),Schwierigkeitsstufen!$G$7:$G$19,Schwierigkeitsstufen!$H$7:$H$19)))</f>
        <v/>
      </c>
      <c r="AE990" s="211"/>
      <c r="AG990" s="221" t="str">
        <f t="shared" si="135"/>
        <v/>
      </c>
      <c r="AH990" s="222" t="str">
        <f t="shared" si="137"/>
        <v/>
      </c>
      <c r="AI990" s="220">
        <f t="shared" si="142"/>
        <v>4</v>
      </c>
      <c r="AJ990" s="222">
        <f t="shared" si="138"/>
        <v>0</v>
      </c>
      <c r="AK990" s="299" t="str">
        <f>IF(ISERROR(LOOKUP(E990,WKNrListe,Übersicht!$R$7:$R$46)),"-",LOOKUP(E990,WKNrListe,Übersicht!$R$7:$R$46))</f>
        <v>-</v>
      </c>
      <c r="AL990" s="299" t="str">
        <f t="shared" si="141"/>
        <v>-</v>
      </c>
      <c r="AM990" s="303"/>
      <c r="AN990" s="174" t="str">
        <f t="shared" si="134"/>
        <v>Leer</v>
      </c>
    </row>
    <row r="991" spans="1:40" s="174" customFormat="1" ht="15" customHeight="1">
      <c r="A991" s="63"/>
      <c r="B991" s="63"/>
      <c r="C991" s="84"/>
      <c r="D991" s="85"/>
      <c r="E991" s="62"/>
      <c r="F991" s="62"/>
      <c r="G991" s="62"/>
      <c r="H991" s="62"/>
      <c r="I991" s="62"/>
      <c r="J991" s="62"/>
      <c r="K991" s="62"/>
      <c r="L991" s="62"/>
      <c r="M991" s="62"/>
      <c r="N991" s="62"/>
      <c r="O991" s="62"/>
      <c r="P991" s="62"/>
      <c r="Q991" s="62"/>
      <c r="R991" s="62"/>
      <c r="S991" s="258"/>
      <c r="T991" s="248" t="str">
        <f t="shared" si="139"/>
        <v/>
      </c>
      <c r="U991" s="249" t="str">
        <f t="shared" si="140"/>
        <v/>
      </c>
      <c r="V991" s="294" t="str">
        <f t="shared" si="136"/>
        <v/>
      </c>
      <c r="W991" s="294" t="str">
        <f>IF(((E991="")+(F991="")),"",IF(VLOOKUP(F991,Mannschaften!$A$1:$B$54,2,FALSE)&lt;&gt;E991,"Reiter Mannschaften füllen",""))</f>
        <v/>
      </c>
      <c r="X991" s="248" t="str">
        <f>IF(ISBLANK(C991),"",IF((U991&gt;(LOOKUP(E991,WKNrListe,Übersicht!$O$7:$O$46)))+(U991&lt;(LOOKUP(E991,WKNrListe,Übersicht!$P$7:$P$46))),"JG falsch",""))</f>
        <v/>
      </c>
      <c r="Y991" s="255" t="str">
        <f>IF((A991="")*(B991=""),"",IF(ISERROR(MATCH(E991,WKNrListe,0)),"WK falsch",LOOKUP(E991,WKNrListe,Übersicht!$B$7:$B$46)))</f>
        <v/>
      </c>
      <c r="Z991" s="269" t="str">
        <f>IF(((AJ991=0)*(AH991&lt;&gt;"")*(AK991="-"))+((AJ991&lt;&gt;0)*(AH991&lt;&gt;"")*(AK991="-")),IF(AG991="X",Übersicht!$C$70,Übersicht!$C$69),"-")</f>
        <v>-</v>
      </c>
      <c r="AA991" s="252" t="str">
        <f>IF((($A991="")*($B991=""))+((MID($Y991,1,4)&lt;&gt;"Wahl")*(Deckblatt!$C$14='WK-Vorlagen'!$C$82))+(Deckblatt!$C$14&lt;&gt;'WK-Vorlagen'!$C$82),"",IF(ISERROR(MATCH(VALUE(MID(G991,1,2)),Schwierigkeitsstufen!$G$7:$G$19,0)),"Gerät falsch",LOOKUP(VALUE(MID(G991,1,2)),Schwierigkeitsstufen!$G$7:$G$19,Schwierigkeitsstufen!$H$7:$H$19)))</f>
        <v/>
      </c>
      <c r="AB991" s="250" t="str">
        <f>IF((($A991="")*($B991=""))+((MID($Y991,1,4)&lt;&gt;"Wahl")*(Deckblatt!$C$14='WK-Vorlagen'!$C$82))+(Deckblatt!$C$14&lt;&gt;'WK-Vorlagen'!$C$82),"",IF(ISERROR(MATCH(VALUE(MID(H991,1,2)),Schwierigkeitsstufen!$G$7:$G$19,0)),"Gerät falsch",LOOKUP(VALUE(MID(H991,1,2)),Schwierigkeitsstufen!$G$7:$G$19,Schwierigkeitsstufen!$H$7:$H$19)))</f>
        <v/>
      </c>
      <c r="AC991" s="250" t="str">
        <f>IF((($A991="")*($B991=""))+((MID($Y991,1,4)&lt;&gt;"Wahl")*(Deckblatt!$C$14='WK-Vorlagen'!$C$82))+(Deckblatt!$C$14&lt;&gt;'WK-Vorlagen'!$C$82),"",IF(ISERROR(MATCH(VALUE(MID(I991,1,2)),Schwierigkeitsstufen!$G$7:$G$19,0)),"Gerät falsch",LOOKUP(VALUE(MID(I991,1,2)),Schwierigkeitsstufen!$G$7:$G$19,Schwierigkeitsstufen!$H$7:$H$19)))</f>
        <v/>
      </c>
      <c r="AD991" s="251" t="str">
        <f>IF((($A991="")*($B991=""))+((MID($Y991,1,4)&lt;&gt;"Wahl")*(Deckblatt!$C$14='WK-Vorlagen'!$C$82))+(Deckblatt!$C$14&lt;&gt;'WK-Vorlagen'!$C$82),"",IF(ISERROR(MATCH(VALUE(MID(J991,1,2)),Schwierigkeitsstufen!$G$7:$G$19,0)),"Gerät falsch",LOOKUP(VALUE(MID(J991,1,2)),Schwierigkeitsstufen!$G$7:$G$19,Schwierigkeitsstufen!$H$7:$H$19)))</f>
        <v/>
      </c>
      <c r="AE991" s="211"/>
      <c r="AG991" s="221" t="str">
        <f t="shared" si="135"/>
        <v/>
      </c>
      <c r="AH991" s="222" t="str">
        <f t="shared" si="137"/>
        <v/>
      </c>
      <c r="AI991" s="220">
        <f t="shared" si="142"/>
        <v>4</v>
      </c>
      <c r="AJ991" s="222">
        <f t="shared" si="138"/>
        <v>0</v>
      </c>
      <c r="AK991" s="299" t="str">
        <f>IF(ISERROR(LOOKUP(E991,WKNrListe,Übersicht!$R$7:$R$46)),"-",LOOKUP(E991,WKNrListe,Übersicht!$R$7:$R$46))</f>
        <v>-</v>
      </c>
      <c r="AL991" s="299" t="str">
        <f t="shared" si="141"/>
        <v>-</v>
      </c>
      <c r="AM991" s="303"/>
      <c r="AN991" s="174" t="str">
        <f t="shared" si="134"/>
        <v>Leer</v>
      </c>
    </row>
    <row r="992" spans="1:40" s="174" customFormat="1" ht="15" customHeight="1">
      <c r="A992" s="63"/>
      <c r="B992" s="63"/>
      <c r="C992" s="84"/>
      <c r="D992" s="85"/>
      <c r="E992" s="62"/>
      <c r="F992" s="62"/>
      <c r="G992" s="62"/>
      <c r="H992" s="62"/>
      <c r="I992" s="62"/>
      <c r="J992" s="62"/>
      <c r="K992" s="62"/>
      <c r="L992" s="62"/>
      <c r="M992" s="62"/>
      <c r="N992" s="62"/>
      <c r="O992" s="62"/>
      <c r="P992" s="62"/>
      <c r="Q992" s="62"/>
      <c r="R992" s="62"/>
      <c r="S992" s="258"/>
      <c r="T992" s="248" t="str">
        <f t="shared" si="139"/>
        <v/>
      </c>
      <c r="U992" s="249" t="str">
        <f t="shared" si="140"/>
        <v/>
      </c>
      <c r="V992" s="294" t="str">
        <f t="shared" si="136"/>
        <v/>
      </c>
      <c r="W992" s="294" t="str">
        <f>IF(((E992="")+(F992="")),"",IF(VLOOKUP(F992,Mannschaften!$A$1:$B$54,2,FALSE)&lt;&gt;E992,"Reiter Mannschaften füllen",""))</f>
        <v/>
      </c>
      <c r="X992" s="248" t="str">
        <f>IF(ISBLANK(C992),"",IF((U992&gt;(LOOKUP(E992,WKNrListe,Übersicht!$O$7:$O$46)))+(U992&lt;(LOOKUP(E992,WKNrListe,Übersicht!$P$7:$P$46))),"JG falsch",""))</f>
        <v/>
      </c>
      <c r="Y992" s="255" t="str">
        <f>IF((A992="")*(B992=""),"",IF(ISERROR(MATCH(E992,WKNrListe,0)),"WK falsch",LOOKUP(E992,WKNrListe,Übersicht!$B$7:$B$46)))</f>
        <v/>
      </c>
      <c r="Z992" s="269" t="str">
        <f>IF(((AJ992=0)*(AH992&lt;&gt;"")*(AK992="-"))+((AJ992&lt;&gt;0)*(AH992&lt;&gt;"")*(AK992="-")),IF(AG992="X",Übersicht!$C$70,Übersicht!$C$69),"-")</f>
        <v>-</v>
      </c>
      <c r="AA992" s="252" t="str">
        <f>IF((($A992="")*($B992=""))+((MID($Y992,1,4)&lt;&gt;"Wahl")*(Deckblatt!$C$14='WK-Vorlagen'!$C$82))+(Deckblatt!$C$14&lt;&gt;'WK-Vorlagen'!$C$82),"",IF(ISERROR(MATCH(VALUE(MID(G992,1,2)),Schwierigkeitsstufen!$G$7:$G$19,0)),"Gerät falsch",LOOKUP(VALUE(MID(G992,1,2)),Schwierigkeitsstufen!$G$7:$G$19,Schwierigkeitsstufen!$H$7:$H$19)))</f>
        <v/>
      </c>
      <c r="AB992" s="250" t="str">
        <f>IF((($A992="")*($B992=""))+((MID($Y992,1,4)&lt;&gt;"Wahl")*(Deckblatt!$C$14='WK-Vorlagen'!$C$82))+(Deckblatt!$C$14&lt;&gt;'WK-Vorlagen'!$C$82),"",IF(ISERROR(MATCH(VALUE(MID(H992,1,2)),Schwierigkeitsstufen!$G$7:$G$19,0)),"Gerät falsch",LOOKUP(VALUE(MID(H992,1,2)),Schwierigkeitsstufen!$G$7:$G$19,Schwierigkeitsstufen!$H$7:$H$19)))</f>
        <v/>
      </c>
      <c r="AC992" s="250" t="str">
        <f>IF((($A992="")*($B992=""))+((MID($Y992,1,4)&lt;&gt;"Wahl")*(Deckblatt!$C$14='WK-Vorlagen'!$C$82))+(Deckblatt!$C$14&lt;&gt;'WK-Vorlagen'!$C$82),"",IF(ISERROR(MATCH(VALUE(MID(I992,1,2)),Schwierigkeitsstufen!$G$7:$G$19,0)),"Gerät falsch",LOOKUP(VALUE(MID(I992,1,2)),Schwierigkeitsstufen!$G$7:$G$19,Schwierigkeitsstufen!$H$7:$H$19)))</f>
        <v/>
      </c>
      <c r="AD992" s="251" t="str">
        <f>IF((($A992="")*($B992=""))+((MID($Y992,1,4)&lt;&gt;"Wahl")*(Deckblatt!$C$14='WK-Vorlagen'!$C$82))+(Deckblatt!$C$14&lt;&gt;'WK-Vorlagen'!$C$82),"",IF(ISERROR(MATCH(VALUE(MID(J992,1,2)),Schwierigkeitsstufen!$G$7:$G$19,0)),"Gerät falsch",LOOKUP(VALUE(MID(J992,1,2)),Schwierigkeitsstufen!$G$7:$G$19,Schwierigkeitsstufen!$H$7:$H$19)))</f>
        <v/>
      </c>
      <c r="AE992" s="211"/>
      <c r="AG992" s="221" t="str">
        <f t="shared" si="135"/>
        <v/>
      </c>
      <c r="AH992" s="222" t="str">
        <f t="shared" si="137"/>
        <v/>
      </c>
      <c r="AI992" s="220">
        <f t="shared" si="142"/>
        <v>4</v>
      </c>
      <c r="AJ992" s="222">
        <f t="shared" si="138"/>
        <v>0</v>
      </c>
      <c r="AK992" s="299" t="str">
        <f>IF(ISERROR(LOOKUP(E992,WKNrListe,Übersicht!$R$7:$R$46)),"-",LOOKUP(E992,WKNrListe,Übersicht!$R$7:$R$46))</f>
        <v>-</v>
      </c>
      <c r="AL992" s="299" t="str">
        <f t="shared" si="141"/>
        <v>-</v>
      </c>
      <c r="AM992" s="303"/>
      <c r="AN992" s="174" t="str">
        <f t="shared" si="134"/>
        <v>Leer</v>
      </c>
    </row>
    <row r="993" spans="1:40" s="174" customFormat="1" ht="15" customHeight="1">
      <c r="A993" s="63"/>
      <c r="B993" s="63"/>
      <c r="C993" s="84"/>
      <c r="D993" s="85"/>
      <c r="E993" s="62"/>
      <c r="F993" s="62"/>
      <c r="G993" s="62"/>
      <c r="H993" s="62"/>
      <c r="I993" s="62"/>
      <c r="J993" s="62"/>
      <c r="K993" s="62"/>
      <c r="L993" s="62"/>
      <c r="M993" s="62"/>
      <c r="N993" s="62"/>
      <c r="O993" s="62"/>
      <c r="P993" s="62"/>
      <c r="Q993" s="62"/>
      <c r="R993" s="62"/>
      <c r="S993" s="258"/>
      <c r="T993" s="248" t="str">
        <f t="shared" si="139"/>
        <v/>
      </c>
      <c r="U993" s="249" t="str">
        <f t="shared" si="140"/>
        <v/>
      </c>
      <c r="V993" s="294" t="str">
        <f t="shared" si="136"/>
        <v/>
      </c>
      <c r="W993" s="294" t="str">
        <f>IF(((E993="")+(F993="")),"",IF(VLOOKUP(F993,Mannschaften!$A$1:$B$54,2,FALSE)&lt;&gt;E993,"Reiter Mannschaften füllen",""))</f>
        <v/>
      </c>
      <c r="X993" s="248" t="str">
        <f>IF(ISBLANK(C993),"",IF((U993&gt;(LOOKUP(E993,WKNrListe,Übersicht!$O$7:$O$46)))+(U993&lt;(LOOKUP(E993,WKNrListe,Übersicht!$P$7:$P$46))),"JG falsch",""))</f>
        <v/>
      </c>
      <c r="Y993" s="255" t="str">
        <f>IF((A993="")*(B993=""),"",IF(ISERROR(MATCH(E993,WKNrListe,0)),"WK falsch",LOOKUP(E993,WKNrListe,Übersicht!$B$7:$B$46)))</f>
        <v/>
      </c>
      <c r="Z993" s="269" t="str">
        <f>IF(((AJ993=0)*(AH993&lt;&gt;"")*(AK993="-"))+((AJ993&lt;&gt;0)*(AH993&lt;&gt;"")*(AK993="-")),IF(AG993="X",Übersicht!$C$70,Übersicht!$C$69),"-")</f>
        <v>-</v>
      </c>
      <c r="AA993" s="252" t="str">
        <f>IF((($A993="")*($B993=""))+((MID($Y993,1,4)&lt;&gt;"Wahl")*(Deckblatt!$C$14='WK-Vorlagen'!$C$82))+(Deckblatt!$C$14&lt;&gt;'WK-Vorlagen'!$C$82),"",IF(ISERROR(MATCH(VALUE(MID(G993,1,2)),Schwierigkeitsstufen!$G$7:$G$19,0)),"Gerät falsch",LOOKUP(VALUE(MID(G993,1,2)),Schwierigkeitsstufen!$G$7:$G$19,Schwierigkeitsstufen!$H$7:$H$19)))</f>
        <v/>
      </c>
      <c r="AB993" s="250" t="str">
        <f>IF((($A993="")*($B993=""))+((MID($Y993,1,4)&lt;&gt;"Wahl")*(Deckblatt!$C$14='WK-Vorlagen'!$C$82))+(Deckblatt!$C$14&lt;&gt;'WK-Vorlagen'!$C$82),"",IF(ISERROR(MATCH(VALUE(MID(H993,1,2)),Schwierigkeitsstufen!$G$7:$G$19,0)),"Gerät falsch",LOOKUP(VALUE(MID(H993,1,2)),Schwierigkeitsstufen!$G$7:$G$19,Schwierigkeitsstufen!$H$7:$H$19)))</f>
        <v/>
      </c>
      <c r="AC993" s="250" t="str">
        <f>IF((($A993="")*($B993=""))+((MID($Y993,1,4)&lt;&gt;"Wahl")*(Deckblatt!$C$14='WK-Vorlagen'!$C$82))+(Deckblatt!$C$14&lt;&gt;'WK-Vorlagen'!$C$82),"",IF(ISERROR(MATCH(VALUE(MID(I993,1,2)),Schwierigkeitsstufen!$G$7:$G$19,0)),"Gerät falsch",LOOKUP(VALUE(MID(I993,1,2)),Schwierigkeitsstufen!$G$7:$G$19,Schwierigkeitsstufen!$H$7:$H$19)))</f>
        <v/>
      </c>
      <c r="AD993" s="251" t="str">
        <f>IF((($A993="")*($B993=""))+((MID($Y993,1,4)&lt;&gt;"Wahl")*(Deckblatt!$C$14='WK-Vorlagen'!$C$82))+(Deckblatt!$C$14&lt;&gt;'WK-Vorlagen'!$C$82),"",IF(ISERROR(MATCH(VALUE(MID(J993,1,2)),Schwierigkeitsstufen!$G$7:$G$19,0)),"Gerät falsch",LOOKUP(VALUE(MID(J993,1,2)),Schwierigkeitsstufen!$G$7:$G$19,Schwierigkeitsstufen!$H$7:$H$19)))</f>
        <v/>
      </c>
      <c r="AE993" s="211"/>
      <c r="AG993" s="221" t="str">
        <f t="shared" si="135"/>
        <v/>
      </c>
      <c r="AH993" s="222" t="str">
        <f t="shared" si="137"/>
        <v/>
      </c>
      <c r="AI993" s="220">
        <f t="shared" si="142"/>
        <v>4</v>
      </c>
      <c r="AJ993" s="222">
        <f t="shared" si="138"/>
        <v>0</v>
      </c>
      <c r="AK993" s="299" t="str">
        <f>IF(ISERROR(LOOKUP(E993,WKNrListe,Übersicht!$R$7:$R$46)),"-",LOOKUP(E993,WKNrListe,Übersicht!$R$7:$R$46))</f>
        <v>-</v>
      </c>
      <c r="AL993" s="299" t="str">
        <f t="shared" si="141"/>
        <v>-</v>
      </c>
      <c r="AM993" s="303"/>
      <c r="AN993" s="174" t="str">
        <f t="shared" si="134"/>
        <v>Leer</v>
      </c>
    </row>
    <row r="994" spans="1:40" s="174" customFormat="1" ht="15" customHeight="1">
      <c r="A994" s="63"/>
      <c r="B994" s="63"/>
      <c r="C994" s="84"/>
      <c r="D994" s="85"/>
      <c r="E994" s="62"/>
      <c r="F994" s="62"/>
      <c r="G994" s="62"/>
      <c r="H994" s="62"/>
      <c r="I994" s="62"/>
      <c r="J994" s="62"/>
      <c r="K994" s="62"/>
      <c r="L994" s="62"/>
      <c r="M994" s="62"/>
      <c r="N994" s="62"/>
      <c r="O994" s="62"/>
      <c r="P994" s="62"/>
      <c r="Q994" s="62"/>
      <c r="R994" s="62"/>
      <c r="S994" s="258"/>
      <c r="T994" s="248" t="str">
        <f t="shared" si="139"/>
        <v/>
      </c>
      <c r="U994" s="249" t="str">
        <f t="shared" si="140"/>
        <v/>
      </c>
      <c r="V994" s="294" t="str">
        <f t="shared" si="136"/>
        <v/>
      </c>
      <c r="W994" s="294" t="str">
        <f>IF(((E994="")+(F994="")),"",IF(VLOOKUP(F994,Mannschaften!$A$1:$B$54,2,FALSE)&lt;&gt;E994,"Reiter Mannschaften füllen",""))</f>
        <v/>
      </c>
      <c r="X994" s="248" t="str">
        <f>IF(ISBLANK(C994),"",IF((U994&gt;(LOOKUP(E994,WKNrListe,Übersicht!$O$7:$O$46)))+(U994&lt;(LOOKUP(E994,WKNrListe,Übersicht!$P$7:$P$46))),"JG falsch",""))</f>
        <v/>
      </c>
      <c r="Y994" s="255" t="str">
        <f>IF((A994="")*(B994=""),"",IF(ISERROR(MATCH(E994,WKNrListe,0)),"WK falsch",LOOKUP(E994,WKNrListe,Übersicht!$B$7:$B$46)))</f>
        <v/>
      </c>
      <c r="Z994" s="269" t="str">
        <f>IF(((AJ994=0)*(AH994&lt;&gt;"")*(AK994="-"))+((AJ994&lt;&gt;0)*(AH994&lt;&gt;"")*(AK994="-")),IF(AG994="X",Übersicht!$C$70,Übersicht!$C$69),"-")</f>
        <v>-</v>
      </c>
      <c r="AA994" s="252" t="str">
        <f>IF((($A994="")*($B994=""))+((MID($Y994,1,4)&lt;&gt;"Wahl")*(Deckblatt!$C$14='WK-Vorlagen'!$C$82))+(Deckblatt!$C$14&lt;&gt;'WK-Vorlagen'!$C$82),"",IF(ISERROR(MATCH(VALUE(MID(G994,1,2)),Schwierigkeitsstufen!$G$7:$G$19,0)),"Gerät falsch",LOOKUP(VALUE(MID(G994,1,2)),Schwierigkeitsstufen!$G$7:$G$19,Schwierigkeitsstufen!$H$7:$H$19)))</f>
        <v/>
      </c>
      <c r="AB994" s="250" t="str">
        <f>IF((($A994="")*($B994=""))+((MID($Y994,1,4)&lt;&gt;"Wahl")*(Deckblatt!$C$14='WK-Vorlagen'!$C$82))+(Deckblatt!$C$14&lt;&gt;'WK-Vorlagen'!$C$82),"",IF(ISERROR(MATCH(VALUE(MID(H994,1,2)),Schwierigkeitsstufen!$G$7:$G$19,0)),"Gerät falsch",LOOKUP(VALUE(MID(H994,1,2)),Schwierigkeitsstufen!$G$7:$G$19,Schwierigkeitsstufen!$H$7:$H$19)))</f>
        <v/>
      </c>
      <c r="AC994" s="250" t="str">
        <f>IF((($A994="")*($B994=""))+((MID($Y994,1,4)&lt;&gt;"Wahl")*(Deckblatt!$C$14='WK-Vorlagen'!$C$82))+(Deckblatt!$C$14&lt;&gt;'WK-Vorlagen'!$C$82),"",IF(ISERROR(MATCH(VALUE(MID(I994,1,2)),Schwierigkeitsstufen!$G$7:$G$19,0)),"Gerät falsch",LOOKUP(VALUE(MID(I994,1,2)),Schwierigkeitsstufen!$G$7:$G$19,Schwierigkeitsstufen!$H$7:$H$19)))</f>
        <v/>
      </c>
      <c r="AD994" s="251" t="str">
        <f>IF((($A994="")*($B994=""))+((MID($Y994,1,4)&lt;&gt;"Wahl")*(Deckblatt!$C$14='WK-Vorlagen'!$C$82))+(Deckblatt!$C$14&lt;&gt;'WK-Vorlagen'!$C$82),"",IF(ISERROR(MATCH(VALUE(MID(J994,1,2)),Schwierigkeitsstufen!$G$7:$G$19,0)),"Gerät falsch",LOOKUP(VALUE(MID(J994,1,2)),Schwierigkeitsstufen!$G$7:$G$19,Schwierigkeitsstufen!$H$7:$H$19)))</f>
        <v/>
      </c>
      <c r="AE994" s="211"/>
      <c r="AG994" s="221" t="str">
        <f t="shared" si="135"/>
        <v/>
      </c>
      <c r="AH994" s="222" t="str">
        <f t="shared" si="137"/>
        <v/>
      </c>
      <c r="AI994" s="220">
        <f t="shared" si="142"/>
        <v>4</v>
      </c>
      <c r="AJ994" s="222">
        <f t="shared" si="138"/>
        <v>0</v>
      </c>
      <c r="AK994" s="299" t="str">
        <f>IF(ISERROR(LOOKUP(E994,WKNrListe,Übersicht!$R$7:$R$46)),"-",LOOKUP(E994,WKNrListe,Übersicht!$R$7:$R$46))</f>
        <v>-</v>
      </c>
      <c r="AL994" s="299" t="str">
        <f t="shared" si="141"/>
        <v>-</v>
      </c>
      <c r="AM994" s="303"/>
      <c r="AN994" s="174" t="str">
        <f t="shared" si="134"/>
        <v>Leer</v>
      </c>
    </row>
    <row r="995" spans="1:40" s="174" customFormat="1" ht="15" customHeight="1">
      <c r="A995" s="63"/>
      <c r="B995" s="63"/>
      <c r="C995" s="84"/>
      <c r="D995" s="85"/>
      <c r="E995" s="62"/>
      <c r="F995" s="62"/>
      <c r="G995" s="62"/>
      <c r="H995" s="62"/>
      <c r="I995" s="62"/>
      <c r="J995" s="62"/>
      <c r="K995" s="62"/>
      <c r="L995" s="62"/>
      <c r="M995" s="62"/>
      <c r="N995" s="62"/>
      <c r="O995" s="62"/>
      <c r="P995" s="62"/>
      <c r="Q995" s="62"/>
      <c r="R995" s="62"/>
      <c r="S995" s="258"/>
      <c r="T995" s="248" t="str">
        <f t="shared" si="139"/>
        <v/>
      </c>
      <c r="U995" s="249" t="str">
        <f t="shared" si="140"/>
        <v/>
      </c>
      <c r="V995" s="294" t="str">
        <f t="shared" si="136"/>
        <v/>
      </c>
      <c r="W995" s="294" t="str">
        <f>IF(((E995="")+(F995="")),"",IF(VLOOKUP(F995,Mannschaften!$A$1:$B$54,2,FALSE)&lt;&gt;E995,"Reiter Mannschaften füllen",""))</f>
        <v/>
      </c>
      <c r="X995" s="248" t="str">
        <f>IF(ISBLANK(C995),"",IF((U995&gt;(LOOKUP(E995,WKNrListe,Übersicht!$O$7:$O$46)))+(U995&lt;(LOOKUP(E995,WKNrListe,Übersicht!$P$7:$P$46))),"JG falsch",""))</f>
        <v/>
      </c>
      <c r="Y995" s="255" t="str">
        <f>IF((A995="")*(B995=""),"",IF(ISERROR(MATCH(E995,WKNrListe,0)),"WK falsch",LOOKUP(E995,WKNrListe,Übersicht!$B$7:$B$46)))</f>
        <v/>
      </c>
      <c r="Z995" s="269" t="str">
        <f>IF(((AJ995=0)*(AH995&lt;&gt;"")*(AK995="-"))+((AJ995&lt;&gt;0)*(AH995&lt;&gt;"")*(AK995="-")),IF(AG995="X",Übersicht!$C$70,Übersicht!$C$69),"-")</f>
        <v>-</v>
      </c>
      <c r="AA995" s="252" t="str">
        <f>IF((($A995="")*($B995=""))+((MID($Y995,1,4)&lt;&gt;"Wahl")*(Deckblatt!$C$14='WK-Vorlagen'!$C$82))+(Deckblatt!$C$14&lt;&gt;'WK-Vorlagen'!$C$82),"",IF(ISERROR(MATCH(VALUE(MID(G995,1,2)),Schwierigkeitsstufen!$G$7:$G$19,0)),"Gerät falsch",LOOKUP(VALUE(MID(G995,1,2)),Schwierigkeitsstufen!$G$7:$G$19,Schwierigkeitsstufen!$H$7:$H$19)))</f>
        <v/>
      </c>
      <c r="AB995" s="250" t="str">
        <f>IF((($A995="")*($B995=""))+((MID($Y995,1,4)&lt;&gt;"Wahl")*(Deckblatt!$C$14='WK-Vorlagen'!$C$82))+(Deckblatt!$C$14&lt;&gt;'WK-Vorlagen'!$C$82),"",IF(ISERROR(MATCH(VALUE(MID(H995,1,2)),Schwierigkeitsstufen!$G$7:$G$19,0)),"Gerät falsch",LOOKUP(VALUE(MID(H995,1,2)),Schwierigkeitsstufen!$G$7:$G$19,Schwierigkeitsstufen!$H$7:$H$19)))</f>
        <v/>
      </c>
      <c r="AC995" s="250" t="str">
        <f>IF((($A995="")*($B995=""))+((MID($Y995,1,4)&lt;&gt;"Wahl")*(Deckblatt!$C$14='WK-Vorlagen'!$C$82))+(Deckblatt!$C$14&lt;&gt;'WK-Vorlagen'!$C$82),"",IF(ISERROR(MATCH(VALUE(MID(I995,1,2)),Schwierigkeitsstufen!$G$7:$G$19,0)),"Gerät falsch",LOOKUP(VALUE(MID(I995,1,2)),Schwierigkeitsstufen!$G$7:$G$19,Schwierigkeitsstufen!$H$7:$H$19)))</f>
        <v/>
      </c>
      <c r="AD995" s="251" t="str">
        <f>IF((($A995="")*($B995=""))+((MID($Y995,1,4)&lt;&gt;"Wahl")*(Deckblatt!$C$14='WK-Vorlagen'!$C$82))+(Deckblatt!$C$14&lt;&gt;'WK-Vorlagen'!$C$82),"",IF(ISERROR(MATCH(VALUE(MID(J995,1,2)),Schwierigkeitsstufen!$G$7:$G$19,0)),"Gerät falsch",LOOKUP(VALUE(MID(J995,1,2)),Schwierigkeitsstufen!$G$7:$G$19,Schwierigkeitsstufen!$H$7:$H$19)))</f>
        <v/>
      </c>
      <c r="AE995" s="211"/>
      <c r="AG995" s="221" t="str">
        <f t="shared" si="135"/>
        <v/>
      </c>
      <c r="AH995" s="222" t="str">
        <f t="shared" si="137"/>
        <v/>
      </c>
      <c r="AI995" s="220">
        <f t="shared" si="142"/>
        <v>4</v>
      </c>
      <c r="AJ995" s="222">
        <f t="shared" si="138"/>
        <v>0</v>
      </c>
      <c r="AK995" s="299" t="str">
        <f>IF(ISERROR(LOOKUP(E995,WKNrListe,Übersicht!$R$7:$R$46)),"-",LOOKUP(E995,WKNrListe,Übersicht!$R$7:$R$46))</f>
        <v>-</v>
      </c>
      <c r="AL995" s="299" t="str">
        <f t="shared" si="141"/>
        <v>-</v>
      </c>
      <c r="AM995" s="303"/>
      <c r="AN995" s="174" t="str">
        <f t="shared" si="134"/>
        <v>Leer</v>
      </c>
    </row>
    <row r="996" spans="1:40" s="174" customFormat="1" ht="15" customHeight="1">
      <c r="A996" s="63"/>
      <c r="B996" s="63"/>
      <c r="C996" s="84"/>
      <c r="D996" s="85"/>
      <c r="E996" s="62"/>
      <c r="F996" s="62"/>
      <c r="G996" s="62"/>
      <c r="H996" s="62"/>
      <c r="I996" s="62"/>
      <c r="J996" s="62"/>
      <c r="K996" s="62"/>
      <c r="L996" s="62"/>
      <c r="M996" s="62"/>
      <c r="N996" s="62"/>
      <c r="O996" s="62"/>
      <c r="P996" s="62"/>
      <c r="Q996" s="62"/>
      <c r="R996" s="62"/>
      <c r="S996" s="258"/>
      <c r="T996" s="248" t="str">
        <f t="shared" si="139"/>
        <v/>
      </c>
      <c r="U996" s="249" t="str">
        <f t="shared" si="140"/>
        <v/>
      </c>
      <c r="V996" s="294" t="str">
        <f t="shared" si="136"/>
        <v/>
      </c>
      <c r="W996" s="294" t="str">
        <f>IF(((E996="")+(F996="")),"",IF(VLOOKUP(F996,Mannschaften!$A$1:$B$54,2,FALSE)&lt;&gt;E996,"Reiter Mannschaften füllen",""))</f>
        <v/>
      </c>
      <c r="X996" s="248" t="str">
        <f>IF(ISBLANK(C996),"",IF((U996&gt;(LOOKUP(E996,WKNrListe,Übersicht!$O$7:$O$46)))+(U996&lt;(LOOKUP(E996,WKNrListe,Übersicht!$P$7:$P$46))),"JG falsch",""))</f>
        <v/>
      </c>
      <c r="Y996" s="255" t="str">
        <f>IF((A996="")*(B996=""),"",IF(ISERROR(MATCH(E996,WKNrListe,0)),"WK falsch",LOOKUP(E996,WKNrListe,Übersicht!$B$7:$B$46)))</f>
        <v/>
      </c>
      <c r="Z996" s="269" t="str">
        <f>IF(((AJ996=0)*(AH996&lt;&gt;"")*(AK996="-"))+((AJ996&lt;&gt;0)*(AH996&lt;&gt;"")*(AK996="-")),IF(AG996="X",Übersicht!$C$70,Übersicht!$C$69),"-")</f>
        <v>-</v>
      </c>
      <c r="AA996" s="252" t="str">
        <f>IF((($A996="")*($B996=""))+((MID($Y996,1,4)&lt;&gt;"Wahl")*(Deckblatt!$C$14='WK-Vorlagen'!$C$82))+(Deckblatt!$C$14&lt;&gt;'WK-Vorlagen'!$C$82),"",IF(ISERROR(MATCH(VALUE(MID(G996,1,2)),Schwierigkeitsstufen!$G$7:$G$19,0)),"Gerät falsch",LOOKUP(VALUE(MID(G996,1,2)),Schwierigkeitsstufen!$G$7:$G$19,Schwierigkeitsstufen!$H$7:$H$19)))</f>
        <v/>
      </c>
      <c r="AB996" s="250" t="str">
        <f>IF((($A996="")*($B996=""))+((MID($Y996,1,4)&lt;&gt;"Wahl")*(Deckblatt!$C$14='WK-Vorlagen'!$C$82))+(Deckblatt!$C$14&lt;&gt;'WK-Vorlagen'!$C$82),"",IF(ISERROR(MATCH(VALUE(MID(H996,1,2)),Schwierigkeitsstufen!$G$7:$G$19,0)),"Gerät falsch",LOOKUP(VALUE(MID(H996,1,2)),Schwierigkeitsstufen!$G$7:$G$19,Schwierigkeitsstufen!$H$7:$H$19)))</f>
        <v/>
      </c>
      <c r="AC996" s="250" t="str">
        <f>IF((($A996="")*($B996=""))+((MID($Y996,1,4)&lt;&gt;"Wahl")*(Deckblatt!$C$14='WK-Vorlagen'!$C$82))+(Deckblatt!$C$14&lt;&gt;'WK-Vorlagen'!$C$82),"",IF(ISERROR(MATCH(VALUE(MID(I996,1,2)),Schwierigkeitsstufen!$G$7:$G$19,0)),"Gerät falsch",LOOKUP(VALUE(MID(I996,1,2)),Schwierigkeitsstufen!$G$7:$G$19,Schwierigkeitsstufen!$H$7:$H$19)))</f>
        <v/>
      </c>
      <c r="AD996" s="251" t="str">
        <f>IF((($A996="")*($B996=""))+((MID($Y996,1,4)&lt;&gt;"Wahl")*(Deckblatt!$C$14='WK-Vorlagen'!$C$82))+(Deckblatt!$C$14&lt;&gt;'WK-Vorlagen'!$C$82),"",IF(ISERROR(MATCH(VALUE(MID(J996,1,2)),Schwierigkeitsstufen!$G$7:$G$19,0)),"Gerät falsch",LOOKUP(VALUE(MID(J996,1,2)),Schwierigkeitsstufen!$G$7:$G$19,Schwierigkeitsstufen!$H$7:$H$19)))</f>
        <v/>
      </c>
      <c r="AE996" s="211"/>
      <c r="AG996" s="221" t="str">
        <f t="shared" si="135"/>
        <v/>
      </c>
      <c r="AH996" s="222" t="str">
        <f t="shared" si="137"/>
        <v/>
      </c>
      <c r="AI996" s="220">
        <f t="shared" si="142"/>
        <v>4</v>
      </c>
      <c r="AJ996" s="222">
        <f t="shared" si="138"/>
        <v>0</v>
      </c>
      <c r="AK996" s="299" t="str">
        <f>IF(ISERROR(LOOKUP(E996,WKNrListe,Übersicht!$R$7:$R$46)),"-",LOOKUP(E996,WKNrListe,Übersicht!$R$7:$R$46))</f>
        <v>-</v>
      </c>
      <c r="AL996" s="299" t="str">
        <f t="shared" si="141"/>
        <v>-</v>
      </c>
      <c r="AM996" s="303"/>
      <c r="AN996" s="174" t="str">
        <f t="shared" si="134"/>
        <v>Leer</v>
      </c>
    </row>
    <row r="997" spans="1:40" s="174" customFormat="1" ht="15" customHeight="1">
      <c r="A997" s="63"/>
      <c r="B997" s="63"/>
      <c r="C997" s="84"/>
      <c r="D997" s="85"/>
      <c r="E997" s="62"/>
      <c r="F997" s="62"/>
      <c r="G997" s="62"/>
      <c r="H997" s="62"/>
      <c r="I997" s="62"/>
      <c r="J997" s="62"/>
      <c r="K997" s="62"/>
      <c r="L997" s="62"/>
      <c r="M997" s="62"/>
      <c r="N997" s="62"/>
      <c r="O997" s="62"/>
      <c r="P997" s="62"/>
      <c r="Q997" s="62"/>
      <c r="R997" s="62"/>
      <c r="S997" s="258"/>
      <c r="T997" s="248" t="str">
        <f t="shared" si="139"/>
        <v/>
      </c>
      <c r="U997" s="249" t="str">
        <f t="shared" si="140"/>
        <v/>
      </c>
      <c r="V997" s="294" t="str">
        <f t="shared" si="136"/>
        <v/>
      </c>
      <c r="W997" s="294" t="str">
        <f>IF(((E997="")+(F997="")),"",IF(VLOOKUP(F997,Mannschaften!$A$1:$B$54,2,FALSE)&lt;&gt;E997,"Reiter Mannschaften füllen",""))</f>
        <v/>
      </c>
      <c r="X997" s="248" t="str">
        <f>IF(ISBLANK(C997),"",IF((U997&gt;(LOOKUP(E997,WKNrListe,Übersicht!$O$7:$O$46)))+(U997&lt;(LOOKUP(E997,WKNrListe,Übersicht!$P$7:$P$46))),"JG falsch",""))</f>
        <v/>
      </c>
      <c r="Y997" s="255" t="str">
        <f>IF((A997="")*(B997=""),"",IF(ISERROR(MATCH(E997,WKNrListe,0)),"WK falsch",LOOKUP(E997,WKNrListe,Übersicht!$B$7:$B$46)))</f>
        <v/>
      </c>
      <c r="Z997" s="269" t="str">
        <f>IF(((AJ997=0)*(AH997&lt;&gt;"")*(AK997="-"))+((AJ997&lt;&gt;0)*(AH997&lt;&gt;"")*(AK997="-")),IF(AG997="X",Übersicht!$C$70,Übersicht!$C$69),"-")</f>
        <v>-</v>
      </c>
      <c r="AA997" s="252" t="str">
        <f>IF((($A997="")*($B997=""))+((MID($Y997,1,4)&lt;&gt;"Wahl")*(Deckblatt!$C$14='WK-Vorlagen'!$C$82))+(Deckblatt!$C$14&lt;&gt;'WK-Vorlagen'!$C$82),"",IF(ISERROR(MATCH(VALUE(MID(G997,1,2)),Schwierigkeitsstufen!$G$7:$G$19,0)),"Gerät falsch",LOOKUP(VALUE(MID(G997,1,2)),Schwierigkeitsstufen!$G$7:$G$19,Schwierigkeitsstufen!$H$7:$H$19)))</f>
        <v/>
      </c>
      <c r="AB997" s="250" t="str">
        <f>IF((($A997="")*($B997=""))+((MID($Y997,1,4)&lt;&gt;"Wahl")*(Deckblatt!$C$14='WK-Vorlagen'!$C$82))+(Deckblatt!$C$14&lt;&gt;'WK-Vorlagen'!$C$82),"",IF(ISERROR(MATCH(VALUE(MID(H997,1,2)),Schwierigkeitsstufen!$G$7:$G$19,0)),"Gerät falsch",LOOKUP(VALUE(MID(H997,1,2)),Schwierigkeitsstufen!$G$7:$G$19,Schwierigkeitsstufen!$H$7:$H$19)))</f>
        <v/>
      </c>
      <c r="AC997" s="250" t="str">
        <f>IF((($A997="")*($B997=""))+((MID($Y997,1,4)&lt;&gt;"Wahl")*(Deckblatt!$C$14='WK-Vorlagen'!$C$82))+(Deckblatt!$C$14&lt;&gt;'WK-Vorlagen'!$C$82),"",IF(ISERROR(MATCH(VALUE(MID(I997,1,2)),Schwierigkeitsstufen!$G$7:$G$19,0)),"Gerät falsch",LOOKUP(VALUE(MID(I997,1,2)),Schwierigkeitsstufen!$G$7:$G$19,Schwierigkeitsstufen!$H$7:$H$19)))</f>
        <v/>
      </c>
      <c r="AD997" s="251" t="str">
        <f>IF((($A997="")*($B997=""))+((MID($Y997,1,4)&lt;&gt;"Wahl")*(Deckblatt!$C$14='WK-Vorlagen'!$C$82))+(Deckblatt!$C$14&lt;&gt;'WK-Vorlagen'!$C$82),"",IF(ISERROR(MATCH(VALUE(MID(J997,1,2)),Schwierigkeitsstufen!$G$7:$G$19,0)),"Gerät falsch",LOOKUP(VALUE(MID(J997,1,2)),Schwierigkeitsstufen!$G$7:$G$19,Schwierigkeitsstufen!$H$7:$H$19)))</f>
        <v/>
      </c>
      <c r="AE997" s="211"/>
      <c r="AG997" s="221" t="str">
        <f t="shared" si="135"/>
        <v/>
      </c>
      <c r="AH997" s="222" t="str">
        <f t="shared" si="137"/>
        <v/>
      </c>
      <c r="AI997" s="220">
        <f t="shared" si="142"/>
        <v>4</v>
      </c>
      <c r="AJ997" s="222">
        <f t="shared" si="138"/>
        <v>0</v>
      </c>
      <c r="AK997" s="299" t="str">
        <f>IF(ISERROR(LOOKUP(E997,WKNrListe,Übersicht!$R$7:$R$46)),"-",LOOKUP(E997,WKNrListe,Übersicht!$R$7:$R$46))</f>
        <v>-</v>
      </c>
      <c r="AL997" s="299" t="str">
        <f t="shared" si="141"/>
        <v>-</v>
      </c>
      <c r="AM997" s="303"/>
      <c r="AN997" s="174" t="str">
        <f t="shared" si="134"/>
        <v>Leer</v>
      </c>
    </row>
    <row r="998" spans="1:40" s="174" customFormat="1" ht="15" customHeight="1">
      <c r="A998" s="63"/>
      <c r="B998" s="63"/>
      <c r="C998" s="84"/>
      <c r="D998" s="85"/>
      <c r="E998" s="62"/>
      <c r="F998" s="62"/>
      <c r="G998" s="62"/>
      <c r="H998" s="62"/>
      <c r="I998" s="62"/>
      <c r="J998" s="62"/>
      <c r="K998" s="62"/>
      <c r="L998" s="62"/>
      <c r="M998" s="62"/>
      <c r="N998" s="62"/>
      <c r="O998" s="62"/>
      <c r="P998" s="62"/>
      <c r="Q998" s="62"/>
      <c r="R998" s="62"/>
      <c r="S998" s="258"/>
      <c r="T998" s="248" t="str">
        <f t="shared" si="139"/>
        <v/>
      </c>
      <c r="U998" s="249" t="str">
        <f t="shared" si="140"/>
        <v/>
      </c>
      <c r="V998" s="294" t="str">
        <f t="shared" si="136"/>
        <v/>
      </c>
      <c r="W998" s="294" t="str">
        <f>IF(((E998="")+(F998="")),"",IF(VLOOKUP(F998,Mannschaften!$A$1:$B$54,2,FALSE)&lt;&gt;E998,"Reiter Mannschaften füllen",""))</f>
        <v/>
      </c>
      <c r="X998" s="248" t="str">
        <f>IF(ISBLANK(C998),"",IF((U998&gt;(LOOKUP(E998,WKNrListe,Übersicht!$O$7:$O$46)))+(U998&lt;(LOOKUP(E998,WKNrListe,Übersicht!$P$7:$P$46))),"JG falsch",""))</f>
        <v/>
      </c>
      <c r="Y998" s="255" t="str">
        <f>IF((A998="")*(B998=""),"",IF(ISERROR(MATCH(E998,WKNrListe,0)),"WK falsch",LOOKUP(E998,WKNrListe,Übersicht!$B$7:$B$46)))</f>
        <v/>
      </c>
      <c r="Z998" s="269" t="str">
        <f>IF(((AJ998=0)*(AH998&lt;&gt;"")*(AK998="-"))+((AJ998&lt;&gt;0)*(AH998&lt;&gt;"")*(AK998="-")),IF(AG998="X",Übersicht!$C$70,Übersicht!$C$69),"-")</f>
        <v>-</v>
      </c>
      <c r="AA998" s="252" t="str">
        <f>IF((($A998="")*($B998=""))+((MID($Y998,1,4)&lt;&gt;"Wahl")*(Deckblatt!$C$14='WK-Vorlagen'!$C$82))+(Deckblatt!$C$14&lt;&gt;'WK-Vorlagen'!$C$82),"",IF(ISERROR(MATCH(VALUE(MID(G998,1,2)),Schwierigkeitsstufen!$G$7:$G$19,0)),"Gerät falsch",LOOKUP(VALUE(MID(G998,1,2)),Schwierigkeitsstufen!$G$7:$G$19,Schwierigkeitsstufen!$H$7:$H$19)))</f>
        <v/>
      </c>
      <c r="AB998" s="250" t="str">
        <f>IF((($A998="")*($B998=""))+((MID($Y998,1,4)&lt;&gt;"Wahl")*(Deckblatt!$C$14='WK-Vorlagen'!$C$82))+(Deckblatt!$C$14&lt;&gt;'WK-Vorlagen'!$C$82),"",IF(ISERROR(MATCH(VALUE(MID(H998,1,2)),Schwierigkeitsstufen!$G$7:$G$19,0)),"Gerät falsch",LOOKUP(VALUE(MID(H998,1,2)),Schwierigkeitsstufen!$G$7:$G$19,Schwierigkeitsstufen!$H$7:$H$19)))</f>
        <v/>
      </c>
      <c r="AC998" s="250" t="str">
        <f>IF((($A998="")*($B998=""))+((MID($Y998,1,4)&lt;&gt;"Wahl")*(Deckblatt!$C$14='WK-Vorlagen'!$C$82))+(Deckblatt!$C$14&lt;&gt;'WK-Vorlagen'!$C$82),"",IF(ISERROR(MATCH(VALUE(MID(I998,1,2)),Schwierigkeitsstufen!$G$7:$G$19,0)),"Gerät falsch",LOOKUP(VALUE(MID(I998,1,2)),Schwierigkeitsstufen!$G$7:$G$19,Schwierigkeitsstufen!$H$7:$H$19)))</f>
        <v/>
      </c>
      <c r="AD998" s="251" t="str">
        <f>IF((($A998="")*($B998=""))+((MID($Y998,1,4)&lt;&gt;"Wahl")*(Deckblatt!$C$14='WK-Vorlagen'!$C$82))+(Deckblatt!$C$14&lt;&gt;'WK-Vorlagen'!$C$82),"",IF(ISERROR(MATCH(VALUE(MID(J998,1,2)),Schwierigkeitsstufen!$G$7:$G$19,0)),"Gerät falsch",LOOKUP(VALUE(MID(J998,1,2)),Schwierigkeitsstufen!$G$7:$G$19,Schwierigkeitsstufen!$H$7:$H$19)))</f>
        <v/>
      </c>
      <c r="AE998" s="211"/>
      <c r="AG998" s="221" t="str">
        <f t="shared" si="135"/>
        <v/>
      </c>
      <c r="AH998" s="222" t="str">
        <f t="shared" si="137"/>
        <v/>
      </c>
      <c r="AI998" s="220">
        <f t="shared" si="142"/>
        <v>4</v>
      </c>
      <c r="AJ998" s="222">
        <f t="shared" si="138"/>
        <v>0</v>
      </c>
      <c r="AK998" s="299" t="str">
        <f>IF(ISERROR(LOOKUP(E998,WKNrListe,Übersicht!$R$7:$R$46)),"-",LOOKUP(E998,WKNrListe,Übersicht!$R$7:$R$46))</f>
        <v>-</v>
      </c>
      <c r="AL998" s="299" t="str">
        <f t="shared" si="141"/>
        <v>-</v>
      </c>
      <c r="AM998" s="303"/>
      <c r="AN998" s="174" t="str">
        <f t="shared" si="134"/>
        <v>Leer</v>
      </c>
    </row>
    <row r="999" spans="1:40" s="174" customFormat="1" ht="15" customHeight="1">
      <c r="A999" s="65"/>
      <c r="B999" s="65"/>
      <c r="C999" s="142"/>
      <c r="D999" s="143"/>
      <c r="E999" s="64"/>
      <c r="F999" s="64"/>
      <c r="G999" s="64"/>
      <c r="H999" s="64"/>
      <c r="I999" s="64"/>
      <c r="J999" s="64"/>
      <c r="K999" s="64"/>
      <c r="L999" s="64"/>
      <c r="M999" s="64"/>
      <c r="N999" s="64"/>
      <c r="O999" s="64"/>
      <c r="P999" s="64"/>
      <c r="Q999" s="64"/>
      <c r="R999" s="64"/>
      <c r="S999" s="261"/>
      <c r="T999" s="262" t="str">
        <f t="shared" si="139"/>
        <v/>
      </c>
      <c r="U999" s="263" t="str">
        <f t="shared" si="140"/>
        <v/>
      </c>
      <c r="V999" s="295" t="str">
        <f t="shared" si="136"/>
        <v/>
      </c>
      <c r="W999" s="295" t="str">
        <f>IF(((E999="")+(F999="")),"",IF(VLOOKUP(F999,Mannschaften!$A$1:$B$54,2,FALSE)&lt;&gt;E999,"Reiter Mannschaften füllen",""))</f>
        <v/>
      </c>
      <c r="X999" s="262" t="str">
        <f>IF(ISBLANK(C999),"",IF((U999&gt;(LOOKUP(E999,WKNrListe,Übersicht!$O$7:$O$46)))+(U999&lt;(LOOKUP(E999,WKNrListe,Übersicht!$P$7:$P$46))),"JG falsch",""))</f>
        <v/>
      </c>
      <c r="Y999" s="267" t="str">
        <f>IF((A999="")*(B999=""),"",IF(ISERROR(MATCH(E999,WKNrListe,0)),"WK falsch",LOOKUP(E999,WKNrListe,Übersicht!$B$7:$B$46)))</f>
        <v/>
      </c>
      <c r="Z999" s="270" t="str">
        <f>IF(((AJ999=0)*(AH999&lt;&gt;"")*(AK999="-"))+((AJ999&lt;&gt;0)*(AH999&lt;&gt;"")*(AK999="-")),IF(AG999="X",Übersicht!$C$70,Übersicht!$C$69),"-")</f>
        <v>-</v>
      </c>
      <c r="AA999" s="264" t="str">
        <f>IF((($A999="")*($B999=""))+((MID($Y999,1,4)&lt;&gt;"Wahl")*(Deckblatt!$C$14='WK-Vorlagen'!$C$82))+(Deckblatt!$C$14&lt;&gt;'WK-Vorlagen'!$C$82),"",IF(ISERROR(MATCH(VALUE(MID(G999,1,2)),Schwierigkeitsstufen!$G$7:$G$19,0)),"Gerät falsch",LOOKUP(VALUE(MID(G999,1,2)),Schwierigkeitsstufen!$G$7:$G$19,Schwierigkeitsstufen!$H$7:$H$19)))</f>
        <v/>
      </c>
      <c r="AB999" s="265" t="str">
        <f>IF((($A999="")*($B999=""))+((MID($Y999,1,4)&lt;&gt;"Wahl")*(Deckblatt!$C$14='WK-Vorlagen'!$C$82))+(Deckblatt!$C$14&lt;&gt;'WK-Vorlagen'!$C$82),"",IF(ISERROR(MATCH(VALUE(MID(H999,1,2)),Schwierigkeitsstufen!$G$7:$G$19,0)),"Gerät falsch",LOOKUP(VALUE(MID(H999,1,2)),Schwierigkeitsstufen!$G$7:$G$19,Schwierigkeitsstufen!$H$7:$H$19)))</f>
        <v/>
      </c>
      <c r="AC999" s="265" t="str">
        <f>IF((($A999="")*($B999=""))+((MID($Y999,1,4)&lt;&gt;"Wahl")*(Deckblatt!$C$14='WK-Vorlagen'!$C$82))+(Deckblatt!$C$14&lt;&gt;'WK-Vorlagen'!$C$82),"",IF(ISERROR(MATCH(VALUE(MID(I999,1,2)),Schwierigkeitsstufen!$G$7:$G$19,0)),"Gerät falsch",LOOKUP(VALUE(MID(I999,1,2)),Schwierigkeitsstufen!$G$7:$G$19,Schwierigkeitsstufen!$H$7:$H$19)))</f>
        <v/>
      </c>
      <c r="AD999" s="266" t="str">
        <f>IF((($A999="")*($B999=""))+((MID($Y999,1,4)&lt;&gt;"Wahl")*(Deckblatt!$C$14='WK-Vorlagen'!$C$82))+(Deckblatt!$C$14&lt;&gt;'WK-Vorlagen'!$C$82),"",IF(ISERROR(MATCH(VALUE(MID(J999,1,2)),Schwierigkeitsstufen!$G$7:$G$19,0)),"Gerät falsch",LOOKUP(VALUE(MID(J999,1,2)),Schwierigkeitsstufen!$G$7:$G$19,Schwierigkeitsstufen!$H$7:$H$19)))</f>
        <v/>
      </c>
      <c r="AE999" s="211"/>
      <c r="AG999" s="221" t="str">
        <f t="shared" si="135"/>
        <v/>
      </c>
      <c r="AH999" s="222" t="str">
        <f t="shared" si="137"/>
        <v/>
      </c>
      <c r="AI999" s="220">
        <f t="shared" si="142"/>
        <v>4</v>
      </c>
      <c r="AJ999" s="222">
        <f t="shared" si="138"/>
        <v>0</v>
      </c>
      <c r="AK999" s="299" t="str">
        <f>IF(ISERROR(LOOKUP(E999,WKNrListe,Übersicht!$R$7:$R$46)),"-",LOOKUP(E999,WKNrListe,Übersicht!$R$7:$R$46))</f>
        <v>-</v>
      </c>
      <c r="AL999" s="299" t="str">
        <f t="shared" si="141"/>
        <v>-</v>
      </c>
      <c r="AM999" s="303"/>
      <c r="AN999" s="174" t="str">
        <f t="shared" si="134"/>
        <v>Leer</v>
      </c>
    </row>
  </sheetData>
  <sheetCalcPr fullCalcOnLoad="1"/>
  <sheetProtection password="C04C" sheet="1" objects="1" scenarios="1" selectLockedCells="1"/>
  <mergeCells count="1">
    <mergeCell ref="AA3:AD3"/>
  </mergeCells>
  <phoneticPr fontId="3" type="noConversion"/>
  <conditionalFormatting sqref="Y4:Z999">
    <cfRule type="cellIs" dxfId="1" priority="1" stopIfTrue="1" operator="equal">
      <formula>"WK falsch"</formula>
    </cfRule>
  </conditionalFormatting>
  <conditionalFormatting sqref="AA4:AE999">
    <cfRule type="cellIs" dxfId="0" priority="2" stopIfTrue="1" operator="equal">
      <formula>"Gerät falsch"</formula>
    </cfRule>
  </conditionalFormatting>
  <dataValidations xWindow="240" yWindow="303" count="11">
    <dataValidation type="list" errorStyle="warning" allowBlank="1" showInputMessage="1" showErrorMessage="1" errorTitle="Wettkampf-Nummer" error="Bitte geben Sie die Wettkampf-Nummer entsprechend der Ausschreibung ein. Eine Liste der Wettkämpfe finden Sie auch auf der Seite &quot;Übersicht&quot; dieser Excel-Datei." sqref="E19:E999">
      <formula1>WKNrListe</formula1>
    </dataValidation>
    <dataValidation type="list" allowBlank="1" showInputMessage="1" showErrorMessage="1" sqref="K4:M999">
      <formula1>Auswahl_Gerätturnen</formula1>
    </dataValidation>
    <dataValidation type="list" allowBlank="1" showInputMessage="1" showErrorMessage="1" sqref="N4:R999">
      <formula1>Auswahl_Gymnastik</formula1>
    </dataValidation>
    <dataValidation type="list" errorStyle="warning" allowBlank="1" showInputMessage="1" showErrorMessage="1" errorTitle="Wettkampf-Nummer" error="Bitte geben Sie die Wettkampf-Nummer entsprechend der Ausschreibung ein. Eine Liste der Wettkämpfe finden Sie auch auf der Seite &quot;Übersicht&quot; dieser Excel-Datei." promptTitle="Mannschafts-Nr." prompt="Wählen Sie hier die Mannschafts-Nr. entsprechend Spalte A des Blatts &quot;Mannschaften&quot; aus" sqref="F4:F999">
      <formula1>MannschaftsNrListe</formula1>
    </dataValidation>
    <dataValidation type="list" errorStyle="warning" allowBlank="1" showInputMessage="1" showErrorMessage="1" errorTitle="Wettkampf-Nummer" error="Bitte geben Sie die Wettkampf-Nummer entsprechend der Ausschreibung ein. Eine Liste der Wettkämpfe finden Sie auch auf der Seite &quot;Übersicht&quot; dieser Excel-Datei." promptTitle="Wettkampf-Nummer" prompt="Wählen Sie hier einen der auf dem Blatt &quot;Übersicht&quot; definierten Wettkämpfe aus" sqref="E4:E18">
      <formula1>WKNrListe</formula1>
    </dataValidation>
    <dataValidation type="whole" allowBlank="1" showInputMessage="1" showErrorMessage="1" errorTitle="Wahlwettkampf-Disziplin" error="Geben Sie hier die 3-stellige Zahl für die Schwierigkeitsstufe der Wahlwettkampf-Disziplin ein." promptTitle="4. Wahlwettkampf-Disziplin" prompt="Geben Sie hier die 3-stellige Zahl für die vierte Wahlwettkampf-Disziplin ein. Diese Zahl legt die Disziplin bzw. das Gerät und die Schwierigkeitsstufe fest." sqref="J4:J999">
      <formula1>100</formula1>
      <formula2>999</formula2>
    </dataValidation>
    <dataValidation type="whole" allowBlank="1" showInputMessage="1" showErrorMessage="1" errorTitle="Wahlwettkampf-Disziplin" error="Geben Sie hier die 3-stellige Zahl für die Schwierigkeitsstufe der Wahlwettkampf-Disziplin ein." promptTitle="1. Wahlwettkampf-Disziplin" prompt="Geben Sie hier die 3-stellige Zahl für die erste Wahlwettkampf-Disziplin ein. Diese Zahl legt die Disziplin bzw. das Gerät und die Schwierigkeitsstufe fest." sqref="G4:G999">
      <formula1>100</formula1>
      <formula2>999</formula2>
    </dataValidation>
    <dataValidation type="whole" allowBlank="1" showInputMessage="1" showErrorMessage="1" errorTitle="Wahlwettkampf-Disziplin" error="Geben Sie hier die 3-stellige Zahl für die Schwierigkeitsstufe der Wahlwettkampf-Disziplin ein." promptTitle="2. Wahlwettkampf-Disziplin" prompt="Geben Sie hier die 3-stellige Zahl für die zweite Wahlwettkampf-Disziplin ein. Diese Zahl legt die Disziplin bzw. das Gerät und die Schwierigkeitsstufe fest." sqref="H4:H999">
      <formula1>100</formula1>
      <formula2>999</formula2>
    </dataValidation>
    <dataValidation type="whole" allowBlank="1" showInputMessage="1" showErrorMessage="1" errorTitle="Wahlwettkampf-Disziplin" error="Geben Sie hier die 3-stellige Zahl für die Schwierigkeitsstufe der Wahlwettkampf-Disziplin ein." promptTitle="3. Wahlwettkampf-Disziplin" prompt="Geben Sie hier die 3-stellige Zahl für die dritte Wahlwettkampf-Disziplin ein. Diese Zahl legt die Disziplin bzw. das Gerät und die Schwierigkeitsstufe fest." sqref="I4:I999">
      <formula1>100</formula1>
      <formula2>999</formula2>
    </dataValidation>
    <dataValidation type="whole" allowBlank="1" showInputMessage="1" showErrorMessage="1" sqref="D4:D999">
      <formula1>1</formula1>
      <formula2>99999</formula2>
    </dataValidation>
    <dataValidation type="date" allowBlank="1" showInputMessage="1" showErrorMessage="1" errorTitle="Geburtsdatum" error="Die Eingabe des Geburtsdatums ist nicht plausibel" sqref="C4:C999">
      <formula1>Geburtsdatum_Minimal</formula1>
      <formula2>Geburtsdatum_Maximal</formula2>
    </dataValidation>
  </dataValidations>
  <pageMargins left="0.59055118110236227" right="0.59055118110236227" top="0.78740157480314965" bottom="0.78740157480314965" header="0.51181102362204722" footer="0.51181102362204722"/>
  <pageSetup paperSize="9" scale="63" fitToHeight="26" orientation="landscape" r:id="rId1"/>
  <headerFooter alignWithMargins="0">
    <oddHeader>&amp;R&amp;A</oddHeader>
    <oddFooter>&amp;L&amp;D&amp;T&amp;R&amp;F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S1120"/>
  <sheetViews>
    <sheetView zoomScaleNormal="100" zoomScaleSheetLayoutView="100" workbookViewId="0">
      <selection activeCell="B5" sqref="B5"/>
    </sheetView>
  </sheetViews>
  <sheetFormatPr baseColWidth="10" defaultRowHeight="12.75"/>
  <cols>
    <col min="1" max="1" width="10.5703125" style="167" customWidth="1"/>
    <col min="2" max="2" width="10" style="167" customWidth="1"/>
    <col min="3" max="3" width="30.7109375" style="33" customWidth="1"/>
    <col min="4" max="15" width="8.140625" style="193" hidden="1" customWidth="1"/>
    <col min="16" max="16" width="10.140625" style="167" bestFit="1" customWidth="1"/>
    <col min="17" max="17" width="2.7109375" style="33" customWidth="1"/>
    <col min="18" max="18" width="44.140625" style="33" customWidth="1"/>
    <col min="19" max="19" width="50.7109375" style="33" bestFit="1" customWidth="1"/>
    <col min="20" max="16384" width="11.42578125" style="33"/>
  </cols>
  <sheetData>
    <row r="1" spans="1:19" s="176" customFormat="1" ht="15.75" customHeight="1">
      <c r="A1" s="67" t="str">
        <f>"Mannschaften " &amp; IF(LEN(Deckblatt!C24)&gt;0,Deckblatt!C24,"")</f>
        <v xml:space="preserve">Mannschaften </v>
      </c>
      <c r="B1" s="70"/>
      <c r="C1" s="68"/>
      <c r="D1" s="54"/>
      <c r="E1" s="169"/>
      <c r="F1" s="169"/>
      <c r="G1" s="169"/>
      <c r="H1" s="169"/>
      <c r="I1" s="169"/>
      <c r="J1" s="169"/>
      <c r="K1" s="169"/>
      <c r="L1" s="169"/>
      <c r="M1" s="169"/>
      <c r="N1" s="169"/>
      <c r="O1" s="169"/>
      <c r="P1" s="175"/>
      <c r="R1" s="239" t="s">
        <v>500</v>
      </c>
    </row>
    <row r="2" spans="1:19" s="181" customFormat="1" ht="11.25">
      <c r="A2" s="177" t="s">
        <v>202</v>
      </c>
      <c r="B2" s="178"/>
      <c r="C2" s="179"/>
      <c r="D2" s="55" t="s">
        <v>205</v>
      </c>
      <c r="E2" s="56"/>
      <c r="F2" s="56"/>
      <c r="G2" s="56"/>
      <c r="H2" s="56"/>
      <c r="I2" s="56"/>
      <c r="J2" s="56"/>
      <c r="K2" s="56"/>
      <c r="L2" s="56"/>
      <c r="M2" s="56"/>
      <c r="N2" s="56"/>
      <c r="O2" s="57"/>
      <c r="P2" s="180" t="s">
        <v>206</v>
      </c>
    </row>
    <row r="3" spans="1:19" s="181" customFormat="1" ht="22.5">
      <c r="A3" s="182" t="s">
        <v>207</v>
      </c>
      <c r="B3" s="182" t="s">
        <v>208</v>
      </c>
      <c r="C3" s="183" t="s">
        <v>421</v>
      </c>
      <c r="D3" s="58">
        <v>1</v>
      </c>
      <c r="E3" s="58">
        <v>2</v>
      </c>
      <c r="F3" s="58">
        <v>3</v>
      </c>
      <c r="G3" s="58">
        <v>4</v>
      </c>
      <c r="H3" s="58">
        <v>5</v>
      </c>
      <c r="I3" s="58">
        <v>6</v>
      </c>
      <c r="J3" s="58">
        <v>7</v>
      </c>
      <c r="K3" s="58">
        <v>8</v>
      </c>
      <c r="L3" s="58">
        <v>9</v>
      </c>
      <c r="M3" s="58">
        <v>10</v>
      </c>
      <c r="N3" s="58">
        <v>11</v>
      </c>
      <c r="O3" s="58">
        <v>12</v>
      </c>
      <c r="P3" s="184" t="s">
        <v>209</v>
      </c>
      <c r="R3" s="301" t="s">
        <v>562</v>
      </c>
    </row>
    <row r="4" spans="1:19" s="165" customFormat="1" ht="22.5" hidden="1">
      <c r="A4" s="185"/>
      <c r="B4" s="185"/>
      <c r="C4" s="186"/>
      <c r="D4" s="59" t="s">
        <v>210</v>
      </c>
      <c r="E4" s="59" t="s">
        <v>210</v>
      </c>
      <c r="F4" s="59" t="s">
        <v>210</v>
      </c>
      <c r="G4" s="59" t="s">
        <v>210</v>
      </c>
      <c r="H4" s="59" t="s">
        <v>210</v>
      </c>
      <c r="I4" s="59" t="s">
        <v>210</v>
      </c>
      <c r="J4" s="59" t="s">
        <v>210</v>
      </c>
      <c r="K4" s="59" t="s">
        <v>210</v>
      </c>
      <c r="L4" s="59" t="s">
        <v>210</v>
      </c>
      <c r="M4" s="59" t="s">
        <v>210</v>
      </c>
      <c r="N4" s="59" t="s">
        <v>210</v>
      </c>
      <c r="O4" s="59" t="s">
        <v>210</v>
      </c>
      <c r="P4" s="187"/>
    </row>
    <row r="5" spans="1:19" ht="15.75">
      <c r="A5" s="188">
        <v>1</v>
      </c>
      <c r="B5" s="60"/>
      <c r="C5" s="61"/>
      <c r="D5" s="60"/>
      <c r="E5" s="60"/>
      <c r="F5" s="60"/>
      <c r="G5" s="60"/>
      <c r="H5" s="173"/>
      <c r="I5" s="173"/>
      <c r="J5" s="173"/>
      <c r="K5" s="173"/>
      <c r="L5" s="173"/>
      <c r="M5" s="173"/>
      <c r="N5" s="173"/>
      <c r="O5" s="173"/>
      <c r="P5" s="189">
        <f>COUNTIF(Teilnehmer!F:F,Mannschaften!A5)</f>
        <v>0</v>
      </c>
      <c r="R5" s="195" t="str">
        <f>IF((B5="")*(C5=""),"",IF(ISERROR(MATCH(B5,WKNrListe,0)),"WK falsch",IF(LOOKUP(B5,WKNrListe,Übersicht!$R$7:$R$46)="-","Das ist ein Einzel-WK ! -&gt; Ändern !",IF(VLOOKUP(A5,Teilnehmer!$F$4:$AL$999,33,FALSE)&lt;&gt;B5,"WK-Nr. falsch zu Mannschafts-Nr.",LOOKUP(B5,WKNrListe,Übersicht!$B$7:$B$46)))))</f>
        <v/>
      </c>
      <c r="S5" s="236" t="s">
        <v>275</v>
      </c>
    </row>
    <row r="6" spans="1:19" ht="15">
      <c r="A6" s="190">
        <v>2</v>
      </c>
      <c r="B6" s="62"/>
      <c r="C6" s="63"/>
      <c r="D6" s="60"/>
      <c r="E6" s="60"/>
      <c r="F6" s="60"/>
      <c r="G6" s="60"/>
      <c r="H6" s="173"/>
      <c r="I6" s="173"/>
      <c r="J6" s="173"/>
      <c r="K6" s="173"/>
      <c r="L6" s="173"/>
      <c r="M6" s="173"/>
      <c r="N6" s="173"/>
      <c r="O6" s="173"/>
      <c r="P6" s="189">
        <f>COUNTIF(Teilnehmer!F:F,Mannschaften!A6)</f>
        <v>0</v>
      </c>
      <c r="R6" s="195" t="str">
        <f>IF((B6="")*(C6=""),"",IF(ISERROR(MATCH(B6,WKNrListe,0)),"WK falsch",IF(LOOKUP(B6,WKNrListe,Übersicht!$R$7:$R$46)="-","Das ist ein Einzel-WK ! -&gt; Ändern !",IF(VLOOKUP(A6,Teilnehmer!$F$4:$AL$999,33,FALSE)&lt;&gt;B6,"WK-Nr. falsch zu Mannschafts-Nr.",LOOKUP(B6,WKNrListe,Übersicht!$B$7:$B$46)))))</f>
        <v/>
      </c>
      <c r="S6" s="195" t="s">
        <v>283</v>
      </c>
    </row>
    <row r="7" spans="1:19" ht="15">
      <c r="A7" s="190">
        <v>3</v>
      </c>
      <c r="B7" s="62"/>
      <c r="C7" s="63"/>
      <c r="D7" s="60"/>
      <c r="E7" s="60"/>
      <c r="F7" s="60"/>
      <c r="G7" s="60"/>
      <c r="H7" s="173"/>
      <c r="I7" s="173"/>
      <c r="J7" s="173"/>
      <c r="K7" s="173"/>
      <c r="L7" s="173"/>
      <c r="M7" s="173"/>
      <c r="N7" s="173"/>
      <c r="O7" s="173"/>
      <c r="P7" s="189">
        <f>COUNTIF(Teilnehmer!F:F,Mannschaften!A7)</f>
        <v>0</v>
      </c>
      <c r="R7" s="195" t="str">
        <f>IF((B7="")*(C7=""),"",IF(ISERROR(MATCH(B7,WKNrListe,0)),"WK falsch",IF(LOOKUP(B7,WKNrListe,Übersicht!$R$7:$R$46)="-","Das ist ein Einzel-WK ! -&gt; Ändern !",IF(VLOOKUP(A7,Teilnehmer!$F$4:$AL$999,33,FALSE)&lt;&gt;B7,"WK-Nr. falsch zu Mannschafts-Nr.",LOOKUP(B7,WKNrListe,Übersicht!$B$7:$B$46)))))</f>
        <v/>
      </c>
      <c r="S7" s="195" t="s">
        <v>284</v>
      </c>
    </row>
    <row r="8" spans="1:19" ht="15">
      <c r="A8" s="190">
        <v>4</v>
      </c>
      <c r="B8" s="62"/>
      <c r="C8" s="63"/>
      <c r="D8" s="60"/>
      <c r="E8" s="60"/>
      <c r="F8" s="60"/>
      <c r="G8" s="60"/>
      <c r="H8" s="173"/>
      <c r="I8" s="173"/>
      <c r="J8" s="173"/>
      <c r="K8" s="173"/>
      <c r="L8" s="173"/>
      <c r="M8" s="173"/>
      <c r="N8" s="173"/>
      <c r="O8" s="173"/>
      <c r="P8" s="189">
        <f>COUNTIF(Teilnehmer!F:F,Mannschaften!A8)</f>
        <v>0</v>
      </c>
      <c r="R8" s="195" t="str">
        <f>IF((B8="")*(C8=""),"",IF(ISERROR(MATCH(B8,WKNrListe,0)),"WK falsch",IF(LOOKUP(B8,WKNrListe,Übersicht!$R$7:$R$46)="-","Das ist ein Einzel-WK ! -&gt; Ändern !",IF(VLOOKUP(A8,Teilnehmer!$F$4:$AL$999,33,FALSE)&lt;&gt;B8,"WK-Nr. falsch zu Mannschafts-Nr.",LOOKUP(B8,WKNrListe,Übersicht!$B$7:$B$46)))))</f>
        <v/>
      </c>
      <c r="S8" s="33" t="s">
        <v>601</v>
      </c>
    </row>
    <row r="9" spans="1:19" ht="15">
      <c r="A9" s="190">
        <v>5</v>
      </c>
      <c r="B9" s="62"/>
      <c r="C9" s="63"/>
      <c r="D9" s="60"/>
      <c r="E9" s="60"/>
      <c r="F9" s="60"/>
      <c r="G9" s="60"/>
      <c r="H9" s="173"/>
      <c r="I9" s="173"/>
      <c r="J9" s="173"/>
      <c r="K9" s="173"/>
      <c r="L9" s="173"/>
      <c r="M9" s="173"/>
      <c r="N9" s="173"/>
      <c r="O9" s="173"/>
      <c r="P9" s="189">
        <f>COUNTIF(Teilnehmer!F:F,Mannschaften!A9)</f>
        <v>0</v>
      </c>
      <c r="R9" s="195" t="str">
        <f>IF((B9="")*(C9=""),"",IF(ISERROR(MATCH(B9,WKNrListe,0)),"WK falsch",IF(LOOKUP(B9,WKNrListe,Übersicht!$R$7:$R$46)="-","Das ist ein Einzel-WK ! -&gt; Ändern !",IF(VLOOKUP(A9,Teilnehmer!$F$4:$AL$999,33,FALSE)&lt;&gt;B9,"WK-Nr. falsch zu Mannschafts-Nr.",LOOKUP(B9,WKNrListe,Übersicht!$B$7:$B$46)))))</f>
        <v/>
      </c>
      <c r="S9" s="195" t="s">
        <v>619</v>
      </c>
    </row>
    <row r="10" spans="1:19" ht="15">
      <c r="A10" s="190">
        <v>6</v>
      </c>
      <c r="B10" s="62"/>
      <c r="C10" s="63"/>
      <c r="D10" s="60"/>
      <c r="E10" s="60"/>
      <c r="F10" s="60"/>
      <c r="G10" s="60"/>
      <c r="H10" s="173"/>
      <c r="I10" s="173"/>
      <c r="J10" s="173"/>
      <c r="K10" s="173"/>
      <c r="L10" s="173"/>
      <c r="M10" s="173"/>
      <c r="N10" s="173"/>
      <c r="O10" s="173"/>
      <c r="P10" s="189">
        <f>COUNTIF(Teilnehmer!F:F,Mannschaften!A10)</f>
        <v>0</v>
      </c>
      <c r="R10" s="195" t="str">
        <f>IF((B10="")*(C10=""),"",IF(ISERROR(MATCH(B10,WKNrListe,0)),"WK falsch",IF(LOOKUP(B10,WKNrListe,Übersicht!$R$7:$R$46)="-","Das ist ein Einzel-WK ! -&gt; Ändern !",IF(VLOOKUP(A10,Teilnehmer!$F$4:$AL$999,33,FALSE)&lt;&gt;B10,"WK-Nr. falsch zu Mannschafts-Nr.",LOOKUP(B10,WKNrListe,Übersicht!$B$7:$B$46)))))</f>
        <v/>
      </c>
      <c r="S10" s="195"/>
    </row>
    <row r="11" spans="1:19" ht="15">
      <c r="A11" s="190">
        <v>7</v>
      </c>
      <c r="B11" s="62"/>
      <c r="C11" s="63"/>
      <c r="D11" s="60"/>
      <c r="E11" s="60"/>
      <c r="F11" s="60"/>
      <c r="G11" s="60"/>
      <c r="H11" s="173"/>
      <c r="I11" s="173"/>
      <c r="J11" s="173"/>
      <c r="K11" s="173"/>
      <c r="L11" s="173"/>
      <c r="M11" s="173"/>
      <c r="N11" s="173"/>
      <c r="O11" s="173"/>
      <c r="P11" s="189">
        <f>COUNTIF(Teilnehmer!F:F,Mannschaften!A11)</f>
        <v>0</v>
      </c>
      <c r="R11" s="195" t="str">
        <f>IF((B11="")*(C11=""),"",IF(ISERROR(MATCH(B11,WKNrListe,0)),"WK falsch",IF(LOOKUP(B11,WKNrListe,Übersicht!$R$7:$R$46)="-","Das ist ein Einzel-WK ! -&gt; Ändern !",IF(VLOOKUP(A11,Teilnehmer!$F$4:$AL$999,33,FALSE)&lt;&gt;B11,"WK-Nr. falsch zu Mannschafts-Nr.",LOOKUP(B11,WKNrListe,Übersicht!$B$7:$B$46)))))</f>
        <v/>
      </c>
      <c r="S11" s="33" t="s">
        <v>600</v>
      </c>
    </row>
    <row r="12" spans="1:19" ht="15">
      <c r="A12" s="190">
        <v>8</v>
      </c>
      <c r="B12" s="62"/>
      <c r="C12" s="63"/>
      <c r="D12" s="60"/>
      <c r="E12" s="60"/>
      <c r="F12" s="60"/>
      <c r="G12" s="60"/>
      <c r="H12" s="173"/>
      <c r="I12" s="173"/>
      <c r="J12" s="173"/>
      <c r="K12" s="173"/>
      <c r="L12" s="173"/>
      <c r="M12" s="173"/>
      <c r="N12" s="173"/>
      <c r="O12" s="173"/>
      <c r="P12" s="189">
        <f>COUNTIF(Teilnehmer!F:F,Mannschaften!A12)</f>
        <v>0</v>
      </c>
      <c r="R12" s="195" t="str">
        <f>IF((B12="")*(C12=""),"",IF(ISERROR(MATCH(B12,WKNrListe,0)),"WK falsch",IF(LOOKUP(B12,WKNrListe,Übersicht!$R$7:$R$46)="-","Das ist ein Einzel-WK ! -&gt; Ändern !",IF(VLOOKUP(A12,Teilnehmer!$F$4:$AL$999,33,FALSE)&lt;&gt;B12,"WK-Nr. falsch zu Mannschafts-Nr.",LOOKUP(B12,WKNrListe,Übersicht!$B$7:$B$46)))))</f>
        <v/>
      </c>
    </row>
    <row r="13" spans="1:19" ht="15.75">
      <c r="A13" s="190">
        <v>9</v>
      </c>
      <c r="B13" s="62"/>
      <c r="C13" s="63"/>
      <c r="D13" s="60"/>
      <c r="E13" s="60"/>
      <c r="F13" s="60"/>
      <c r="G13" s="60"/>
      <c r="H13" s="173"/>
      <c r="I13" s="173"/>
      <c r="J13" s="173"/>
      <c r="K13" s="173"/>
      <c r="L13" s="173"/>
      <c r="M13" s="173"/>
      <c r="N13" s="173"/>
      <c r="O13" s="173"/>
      <c r="P13" s="189">
        <f>COUNTIF(Teilnehmer!F:F,Mannschaften!A13)</f>
        <v>0</v>
      </c>
      <c r="R13" s="195" t="str">
        <f>IF((B13="")*(C13=""),"",IF(ISERROR(MATCH(B13,WKNrListe,0)),"WK falsch",IF(LOOKUP(B13,WKNrListe,Übersicht!$R$7:$R$46)="-","Das ist ein Einzel-WK ! -&gt; Ändern !",IF(VLOOKUP(A13,Teilnehmer!$F$4:$AL$999,33,FALSE)&lt;&gt;B13,"WK-Nr. falsch zu Mannschafts-Nr.",LOOKUP(B13,WKNrListe,Übersicht!$B$7:$B$46)))))</f>
        <v/>
      </c>
      <c r="S13" s="236" t="s">
        <v>438</v>
      </c>
    </row>
    <row r="14" spans="1:19" ht="15.75">
      <c r="A14" s="190">
        <v>10</v>
      </c>
      <c r="B14" s="62"/>
      <c r="C14" s="63"/>
      <c r="D14" s="60"/>
      <c r="E14" s="60"/>
      <c r="F14" s="60"/>
      <c r="G14" s="60"/>
      <c r="H14" s="173"/>
      <c r="I14" s="173"/>
      <c r="J14" s="173"/>
      <c r="K14" s="173"/>
      <c r="L14" s="173"/>
      <c r="M14" s="173"/>
      <c r="N14" s="173"/>
      <c r="O14" s="173"/>
      <c r="P14" s="189">
        <f>COUNTIF(Teilnehmer!F:F,Mannschaften!A14)</f>
        <v>0</v>
      </c>
      <c r="R14" s="195" t="str">
        <f>IF((B14="")*(C14=""),"",IF(ISERROR(MATCH(B14,WKNrListe,0)),"WK falsch",IF(LOOKUP(B14,WKNrListe,Übersicht!$R$7:$R$46)="-","Das ist ein Einzel-WK ! -&gt; Ändern !",IF(VLOOKUP(A14,Teilnehmer!$F$4:$AL$999,33,FALSE)&lt;&gt;B14,"WK-Nr. falsch zu Mannschafts-Nr.",LOOKUP(B14,WKNrListe,Übersicht!$B$7:$B$46)))))</f>
        <v/>
      </c>
      <c r="S14" s="236" t="s">
        <v>439</v>
      </c>
    </row>
    <row r="15" spans="1:19" ht="15.75">
      <c r="A15" s="190">
        <v>11</v>
      </c>
      <c r="B15" s="62"/>
      <c r="C15" s="63"/>
      <c r="D15" s="60"/>
      <c r="E15" s="60"/>
      <c r="F15" s="60"/>
      <c r="G15" s="60"/>
      <c r="H15" s="173"/>
      <c r="I15" s="173"/>
      <c r="J15" s="173"/>
      <c r="K15" s="173"/>
      <c r="L15" s="173"/>
      <c r="M15" s="173"/>
      <c r="N15" s="173"/>
      <c r="O15" s="173"/>
      <c r="P15" s="189">
        <f>COUNTIF(Teilnehmer!F:F,Mannschaften!A15)</f>
        <v>0</v>
      </c>
      <c r="R15" s="195" t="str">
        <f>IF((B15="")*(C15=""),"",IF(ISERROR(MATCH(B15,WKNrListe,0)),"WK falsch",IF(LOOKUP(B15,WKNrListe,Übersicht!$R$7:$R$46)="-","Das ist ein Einzel-WK ! -&gt; Ändern !",IF(VLOOKUP(A15,Teilnehmer!$F$4:$AL$999,33,FALSE)&lt;&gt;B15,"WK-Nr. falsch zu Mannschafts-Nr.",LOOKUP(B15,WKNrListe,Übersicht!$B$7:$B$46)))))</f>
        <v/>
      </c>
      <c r="S15" s="236" t="s">
        <v>440</v>
      </c>
    </row>
    <row r="16" spans="1:19" ht="15.75">
      <c r="A16" s="190">
        <v>12</v>
      </c>
      <c r="B16" s="62"/>
      <c r="C16" s="63"/>
      <c r="D16" s="60"/>
      <c r="E16" s="60"/>
      <c r="F16" s="60"/>
      <c r="G16" s="60"/>
      <c r="H16" s="173"/>
      <c r="I16" s="173"/>
      <c r="J16" s="173"/>
      <c r="K16" s="173"/>
      <c r="L16" s="173"/>
      <c r="M16" s="173"/>
      <c r="N16" s="173"/>
      <c r="O16" s="173"/>
      <c r="P16" s="189">
        <f>COUNTIF(Teilnehmer!F:F,Mannschaften!A16)</f>
        <v>0</v>
      </c>
      <c r="R16" s="195" t="str">
        <f>IF((B16="")*(C16=""),"",IF(ISERROR(MATCH(B16,WKNrListe,0)),"WK falsch",IF(LOOKUP(B16,WKNrListe,Übersicht!$R$7:$R$46)="-","Das ist ein Einzel-WK ! -&gt; Ändern !",IF(VLOOKUP(A16,Teilnehmer!$F$4:$AL$999,33,FALSE)&lt;&gt;B16,"WK-Nr. falsch zu Mannschafts-Nr.",LOOKUP(B16,WKNrListe,Übersicht!$B$7:$B$46)))))</f>
        <v/>
      </c>
      <c r="S16" s="236" t="s">
        <v>503</v>
      </c>
    </row>
    <row r="17" spans="1:19" ht="15">
      <c r="A17" s="190">
        <v>13</v>
      </c>
      <c r="B17" s="62"/>
      <c r="C17" s="63"/>
      <c r="D17" s="60"/>
      <c r="E17" s="60"/>
      <c r="F17" s="60"/>
      <c r="G17" s="60"/>
      <c r="H17" s="173"/>
      <c r="I17" s="173"/>
      <c r="J17" s="173"/>
      <c r="K17" s="173"/>
      <c r="L17" s="173"/>
      <c r="M17" s="173"/>
      <c r="N17" s="173"/>
      <c r="O17" s="173"/>
      <c r="P17" s="189">
        <f>COUNTIF(Teilnehmer!F:F,Mannschaften!A17)</f>
        <v>0</v>
      </c>
      <c r="R17" s="195" t="str">
        <f>IF((B17="")*(C17=""),"",IF(ISERROR(MATCH(B17,WKNrListe,0)),"WK falsch",IF(LOOKUP(B17,WKNrListe,Übersicht!$R$7:$R$46)="-","Das ist ein Einzel-WK ! -&gt; Ändern !",IF(VLOOKUP(A17,Teilnehmer!$F$4:$AL$999,33,FALSE)&lt;&gt;B17,"WK-Nr. falsch zu Mannschafts-Nr.",LOOKUP(B17,WKNrListe,Übersicht!$B$7:$B$46)))))</f>
        <v/>
      </c>
    </row>
    <row r="18" spans="1:19" ht="15">
      <c r="A18" s="190">
        <v>14</v>
      </c>
      <c r="B18" s="62"/>
      <c r="C18" s="63"/>
      <c r="D18" s="60"/>
      <c r="E18" s="60"/>
      <c r="F18" s="60"/>
      <c r="G18" s="60"/>
      <c r="H18" s="173"/>
      <c r="I18" s="173"/>
      <c r="J18" s="173"/>
      <c r="K18" s="173"/>
      <c r="L18" s="173"/>
      <c r="M18" s="173"/>
      <c r="N18" s="173"/>
      <c r="O18" s="173"/>
      <c r="P18" s="189">
        <f>COUNTIF(Teilnehmer!F:F,Mannschaften!A18)</f>
        <v>0</v>
      </c>
      <c r="R18" s="195" t="str">
        <f>IF((B18="")*(C18=""),"",IF(ISERROR(MATCH(B18,WKNrListe,0)),"WK falsch",IF(LOOKUP(B18,WKNrListe,Übersicht!$R$7:$R$46)="-","Das ist ein Einzel-WK ! -&gt; Ändern !",IF(VLOOKUP(A18,Teilnehmer!$F$4:$AL$999,33,FALSE)&lt;&gt;B18,"WK-Nr. falsch zu Mannschafts-Nr.",LOOKUP(B18,WKNrListe,Übersicht!$B$7:$B$46)))))</f>
        <v/>
      </c>
      <c r="S18" s="161" t="s">
        <v>285</v>
      </c>
    </row>
    <row r="19" spans="1:19" ht="15">
      <c r="A19" s="190">
        <v>15</v>
      </c>
      <c r="B19" s="62"/>
      <c r="C19" s="63"/>
      <c r="D19" s="60"/>
      <c r="E19" s="60"/>
      <c r="F19" s="60"/>
      <c r="G19" s="60"/>
      <c r="H19" s="173"/>
      <c r="I19" s="173"/>
      <c r="J19" s="173"/>
      <c r="K19" s="173"/>
      <c r="L19" s="173"/>
      <c r="M19" s="173"/>
      <c r="N19" s="173"/>
      <c r="O19" s="173"/>
      <c r="P19" s="189">
        <f>COUNTIF(Teilnehmer!F:F,Mannschaften!A19)</f>
        <v>0</v>
      </c>
      <c r="R19" s="195" t="str">
        <f>IF((B19="")*(C19=""),"",IF(ISERROR(MATCH(B19,WKNrListe,0)),"WK falsch",IF(LOOKUP(B19,WKNrListe,Übersicht!$R$7:$R$46)="-","Das ist ein Einzel-WK ! -&gt; Ändern !",IF(VLOOKUP(A19,Teilnehmer!$F$4:$AL$999,33,FALSE)&lt;&gt;B19,"WK-Nr. falsch zu Mannschafts-Nr.",LOOKUP(B19,WKNrListe,Übersicht!$B$7:$B$46)))))</f>
        <v/>
      </c>
      <c r="S19" s="161" t="s">
        <v>286</v>
      </c>
    </row>
    <row r="20" spans="1:19" ht="15">
      <c r="A20" s="190">
        <v>16</v>
      </c>
      <c r="B20" s="62"/>
      <c r="C20" s="63"/>
      <c r="D20" s="60"/>
      <c r="E20" s="60"/>
      <c r="F20" s="60"/>
      <c r="G20" s="60"/>
      <c r="H20" s="173"/>
      <c r="I20" s="173"/>
      <c r="J20" s="173"/>
      <c r="K20" s="173"/>
      <c r="L20" s="173"/>
      <c r="M20" s="173"/>
      <c r="N20" s="173"/>
      <c r="O20" s="173"/>
      <c r="P20" s="189">
        <f>COUNTIF(Teilnehmer!F:F,Mannschaften!A20)</f>
        <v>0</v>
      </c>
      <c r="R20" s="195" t="str">
        <f>IF((B20="")*(C20=""),"",IF(ISERROR(MATCH(B20,WKNrListe,0)),"WK falsch",IF(LOOKUP(B20,WKNrListe,Übersicht!$R$7:$R$46)="-","Das ist ein Einzel-WK ! -&gt; Ändern !",IF(VLOOKUP(A20,Teilnehmer!$F$4:$AL$999,33,FALSE)&lt;&gt;B20,"WK-Nr. falsch zu Mannschafts-Nr.",LOOKUP(B20,WKNrListe,Übersicht!$B$7:$B$46)))))</f>
        <v/>
      </c>
      <c r="S20" s="195" t="s">
        <v>566</v>
      </c>
    </row>
    <row r="21" spans="1:19" ht="15">
      <c r="A21" s="190">
        <v>17</v>
      </c>
      <c r="B21" s="62"/>
      <c r="C21" s="63"/>
      <c r="D21" s="60"/>
      <c r="E21" s="60"/>
      <c r="F21" s="60"/>
      <c r="G21" s="60"/>
      <c r="H21" s="173"/>
      <c r="I21" s="173"/>
      <c r="J21" s="173"/>
      <c r="K21" s="173"/>
      <c r="L21" s="173"/>
      <c r="M21" s="173"/>
      <c r="N21" s="173"/>
      <c r="O21" s="173"/>
      <c r="P21" s="189">
        <f>COUNTIF(Teilnehmer!F:F,Mannschaften!A21)</f>
        <v>0</v>
      </c>
      <c r="R21" s="195" t="str">
        <f>IF((B21="")*(C21=""),"",IF(ISERROR(MATCH(B21,WKNrListe,0)),"WK falsch",IF(LOOKUP(B21,WKNrListe,Übersicht!$R$7:$R$46)="-","Das ist ein Einzel-WK ! -&gt; Ändern !",IF(VLOOKUP(A21,Teilnehmer!$F$4:$AL$999,33,FALSE)&lt;&gt;B21,"WK-Nr. falsch zu Mannschafts-Nr.",LOOKUP(B21,WKNrListe,Übersicht!$B$7:$B$46)))))</f>
        <v/>
      </c>
      <c r="S21" s="195" t="s">
        <v>501</v>
      </c>
    </row>
    <row r="22" spans="1:19" ht="15">
      <c r="A22" s="190">
        <v>18</v>
      </c>
      <c r="B22" s="62"/>
      <c r="C22" s="63"/>
      <c r="D22" s="60"/>
      <c r="E22" s="60"/>
      <c r="F22" s="60"/>
      <c r="G22" s="60"/>
      <c r="H22" s="173"/>
      <c r="I22" s="173"/>
      <c r="J22" s="173"/>
      <c r="K22" s="173"/>
      <c r="L22" s="173"/>
      <c r="M22" s="173"/>
      <c r="N22" s="173"/>
      <c r="O22" s="173"/>
      <c r="P22" s="189">
        <f>COUNTIF(Teilnehmer!F:F,Mannschaften!A22)</f>
        <v>0</v>
      </c>
      <c r="R22" s="195" t="str">
        <f>IF((B22="")*(C22=""),"",IF(ISERROR(MATCH(B22,WKNrListe,0)),"WK falsch",IF(LOOKUP(B22,WKNrListe,Übersicht!$R$7:$R$46)="-","Das ist ein Einzel-WK ! -&gt; Ändern !",IF(VLOOKUP(A22,Teilnehmer!$F$4:$AL$999,33,FALSE)&lt;&gt;B22,"WK-Nr. falsch zu Mannschafts-Nr.",LOOKUP(B22,WKNrListe,Übersicht!$B$7:$B$46)))))</f>
        <v/>
      </c>
      <c r="S22" s="195" t="s">
        <v>577</v>
      </c>
    </row>
    <row r="23" spans="1:19" ht="15">
      <c r="A23" s="190">
        <v>19</v>
      </c>
      <c r="B23" s="62"/>
      <c r="C23" s="63"/>
      <c r="D23" s="60"/>
      <c r="E23" s="60"/>
      <c r="F23" s="60"/>
      <c r="G23" s="60"/>
      <c r="H23" s="173"/>
      <c r="I23" s="173"/>
      <c r="J23" s="173"/>
      <c r="K23" s="173"/>
      <c r="L23" s="173"/>
      <c r="M23" s="173"/>
      <c r="N23" s="173"/>
      <c r="O23" s="173"/>
      <c r="P23" s="189">
        <f>COUNTIF(Teilnehmer!F:F,Mannschaften!A23)</f>
        <v>0</v>
      </c>
      <c r="R23" s="195" t="str">
        <f>IF((B23="")*(C23=""),"",IF(ISERROR(MATCH(B23,WKNrListe,0)),"WK falsch",IF(LOOKUP(B23,WKNrListe,Übersicht!$R$7:$R$46)="-","Das ist ein Einzel-WK ! -&gt; Ändern !",IF(VLOOKUP(A23,Teilnehmer!$F$4:$AL$999,33,FALSE)&lt;&gt;B23,"WK-Nr. falsch zu Mannschafts-Nr.",LOOKUP(B23,WKNrListe,Übersicht!$B$7:$B$46)))))</f>
        <v/>
      </c>
      <c r="S23" s="195" t="s">
        <v>578</v>
      </c>
    </row>
    <row r="24" spans="1:19" ht="15">
      <c r="A24" s="190">
        <v>20</v>
      </c>
      <c r="B24" s="62"/>
      <c r="C24" s="63"/>
      <c r="D24" s="60"/>
      <c r="E24" s="60"/>
      <c r="F24" s="60"/>
      <c r="G24" s="60"/>
      <c r="H24" s="173"/>
      <c r="I24" s="173"/>
      <c r="J24" s="173"/>
      <c r="K24" s="173"/>
      <c r="L24" s="173"/>
      <c r="M24" s="173"/>
      <c r="N24" s="173"/>
      <c r="O24" s="173"/>
      <c r="P24" s="189">
        <f>COUNTIF(Teilnehmer!F:F,Mannschaften!A24)</f>
        <v>0</v>
      </c>
      <c r="R24" s="195" t="str">
        <f>IF((B24="")*(C24=""),"",IF(ISERROR(MATCH(B24,WKNrListe,0)),"WK falsch",IF(LOOKUP(B24,WKNrListe,Übersicht!$R$7:$R$46)="-","Das ist ein Einzel-WK ! -&gt; Ändern !",IF(VLOOKUP(A24,Teilnehmer!$F$4:$AL$999,33,FALSE)&lt;&gt;B24,"WK-Nr. falsch zu Mannschafts-Nr.",LOOKUP(B24,WKNrListe,Übersicht!$B$7:$B$46)))))</f>
        <v/>
      </c>
      <c r="S24" s="195" t="s">
        <v>579</v>
      </c>
    </row>
    <row r="25" spans="1:19" ht="15">
      <c r="A25" s="190">
        <v>21</v>
      </c>
      <c r="B25" s="62"/>
      <c r="C25" s="63"/>
      <c r="D25" s="60"/>
      <c r="E25" s="60"/>
      <c r="F25" s="60"/>
      <c r="G25" s="60"/>
      <c r="H25" s="173"/>
      <c r="I25" s="173"/>
      <c r="J25" s="173"/>
      <c r="K25" s="173"/>
      <c r="L25" s="173"/>
      <c r="M25" s="173"/>
      <c r="N25" s="173"/>
      <c r="O25" s="173"/>
      <c r="P25" s="189">
        <f>COUNTIF(Teilnehmer!F:F,Mannschaften!A25)</f>
        <v>0</v>
      </c>
      <c r="R25" s="195" t="str">
        <f>IF((B25="")*(C25=""),"",IF(ISERROR(MATCH(B25,WKNrListe,0)),"WK falsch",IF(LOOKUP(B25,WKNrListe,Übersicht!$R$7:$R$46)="-","Das ist ein Einzel-WK ! -&gt; Ändern !",IF(VLOOKUP(A25,Teilnehmer!$F$4:$AL$999,33,FALSE)&lt;&gt;B25,"WK-Nr. falsch zu Mannschafts-Nr.",LOOKUP(B25,WKNrListe,Übersicht!$B$7:$B$46)))))</f>
        <v/>
      </c>
      <c r="S25" s="195" t="s">
        <v>580</v>
      </c>
    </row>
    <row r="26" spans="1:19" ht="15">
      <c r="A26" s="190">
        <v>22</v>
      </c>
      <c r="B26" s="62"/>
      <c r="C26" s="63"/>
      <c r="D26" s="60"/>
      <c r="E26" s="60"/>
      <c r="F26" s="60"/>
      <c r="G26" s="60"/>
      <c r="H26" s="173"/>
      <c r="I26" s="173"/>
      <c r="J26" s="173"/>
      <c r="K26" s="173"/>
      <c r="L26" s="173"/>
      <c r="M26" s="173"/>
      <c r="N26" s="173"/>
      <c r="O26" s="173"/>
      <c r="P26" s="189">
        <f>COUNTIF(Teilnehmer!F:F,Mannschaften!A26)</f>
        <v>0</v>
      </c>
      <c r="R26" s="195" t="str">
        <f>IF((B26="")*(C26=""),"",IF(ISERROR(MATCH(B26,WKNrListe,0)),"WK falsch",IF(LOOKUP(B26,WKNrListe,Übersicht!$R$7:$R$46)="-","Das ist ein Einzel-WK ! -&gt; Ändern !",IF(VLOOKUP(A26,Teilnehmer!$F$4:$AL$999,33,FALSE)&lt;&gt;B26,"WK-Nr. falsch zu Mannschafts-Nr.",LOOKUP(B26,WKNrListe,Übersicht!$B$7:$B$46)))))</f>
        <v/>
      </c>
    </row>
    <row r="27" spans="1:19" ht="15">
      <c r="A27" s="190">
        <v>23</v>
      </c>
      <c r="B27" s="62"/>
      <c r="C27" s="63"/>
      <c r="D27" s="60"/>
      <c r="E27" s="60"/>
      <c r="F27" s="60"/>
      <c r="G27" s="60"/>
      <c r="H27" s="173"/>
      <c r="I27" s="173"/>
      <c r="J27" s="173"/>
      <c r="K27" s="173"/>
      <c r="L27" s="173"/>
      <c r="M27" s="173"/>
      <c r="N27" s="173"/>
      <c r="O27" s="173"/>
      <c r="P27" s="189">
        <f>COUNTIF(Teilnehmer!F:F,Mannschaften!A27)</f>
        <v>0</v>
      </c>
      <c r="R27" s="195" t="str">
        <f>IF((B27="")*(C27=""),"",IF(ISERROR(MATCH(B27,WKNrListe,0)),"WK falsch",IF(LOOKUP(B27,WKNrListe,Übersicht!$R$7:$R$46)="-","Das ist ein Einzel-WK ! -&gt; Ändern !",IF(VLOOKUP(A27,Teilnehmer!$F$4:$AL$999,33,FALSE)&lt;&gt;B27,"WK-Nr. falsch zu Mannschafts-Nr.",LOOKUP(B27,WKNrListe,Übersicht!$B$7:$B$46)))))</f>
        <v/>
      </c>
      <c r="S27" s="195" t="s">
        <v>287</v>
      </c>
    </row>
    <row r="28" spans="1:19" ht="15">
      <c r="A28" s="190">
        <v>24</v>
      </c>
      <c r="B28" s="62"/>
      <c r="C28" s="63"/>
      <c r="D28" s="60"/>
      <c r="E28" s="60"/>
      <c r="F28" s="60"/>
      <c r="G28" s="60"/>
      <c r="H28" s="173"/>
      <c r="I28" s="173"/>
      <c r="J28" s="173"/>
      <c r="K28" s="173"/>
      <c r="L28" s="173"/>
      <c r="M28" s="173"/>
      <c r="N28" s="173"/>
      <c r="O28" s="173"/>
      <c r="P28" s="189">
        <f>COUNTIF(Teilnehmer!F:F,Mannschaften!A28)</f>
        <v>0</v>
      </c>
      <c r="R28" s="195" t="str">
        <f>IF((B28="")*(C28=""),"",IF(ISERROR(MATCH(B28,WKNrListe,0)),"WK falsch",IF(LOOKUP(B28,WKNrListe,Übersicht!$R$7:$R$46)="-","Das ist ein Einzel-WK ! -&gt; Ändern !",IF(VLOOKUP(A28,Teilnehmer!$F$4:$AL$999,33,FALSE)&lt;&gt;B28,"WK-Nr. falsch zu Mannschafts-Nr.",LOOKUP(B28,WKNrListe,Übersicht!$B$7:$B$46)))))</f>
        <v/>
      </c>
      <c r="S28" s="195" t="s">
        <v>502</v>
      </c>
    </row>
    <row r="29" spans="1:19" ht="15">
      <c r="A29" s="190">
        <v>25</v>
      </c>
      <c r="B29" s="62"/>
      <c r="C29" s="63"/>
      <c r="D29" s="60"/>
      <c r="E29" s="60"/>
      <c r="F29" s="60"/>
      <c r="G29" s="60"/>
      <c r="H29" s="173"/>
      <c r="I29" s="173"/>
      <c r="J29" s="173"/>
      <c r="K29" s="173"/>
      <c r="L29" s="173"/>
      <c r="M29" s="173"/>
      <c r="N29" s="173"/>
      <c r="O29" s="173"/>
      <c r="P29" s="189">
        <f>COUNTIF(Teilnehmer!F:F,Mannschaften!A29)</f>
        <v>0</v>
      </c>
      <c r="R29" s="195" t="str">
        <f>IF((B29="")*(C29=""),"",IF(ISERROR(MATCH(B29,WKNrListe,0)),"WK falsch",IF(LOOKUP(B29,WKNrListe,Übersicht!$R$7:$R$46)="-","Das ist ein Einzel-WK ! -&gt; Ändern !",IF(VLOOKUP(A29,Teilnehmer!$F$4:$AL$999,33,FALSE)&lt;&gt;B29,"WK-Nr. falsch zu Mannschafts-Nr.",LOOKUP(B29,WKNrListe,Übersicht!$B$7:$B$46)))))</f>
        <v/>
      </c>
      <c r="S29" s="195" t="s">
        <v>564</v>
      </c>
    </row>
    <row r="30" spans="1:19" ht="15">
      <c r="A30" s="190">
        <v>26</v>
      </c>
      <c r="B30" s="62"/>
      <c r="C30" s="63"/>
      <c r="D30" s="60"/>
      <c r="E30" s="60"/>
      <c r="F30" s="60"/>
      <c r="G30" s="60"/>
      <c r="H30" s="173"/>
      <c r="I30" s="173"/>
      <c r="J30" s="173"/>
      <c r="K30" s="173"/>
      <c r="L30" s="173"/>
      <c r="M30" s="173"/>
      <c r="N30" s="173"/>
      <c r="O30" s="173"/>
      <c r="P30" s="189">
        <f>COUNTIF(Teilnehmer!F:F,Mannschaften!A30)</f>
        <v>0</v>
      </c>
      <c r="R30" s="195" t="str">
        <f>IF((B30="")*(C30=""),"",IF(ISERROR(MATCH(B30,WKNrListe,0)),"WK falsch",IF(LOOKUP(B30,WKNrListe,Übersicht!$R$7:$R$46)="-","Das ist ein Einzel-WK ! -&gt; Ändern !",IF(VLOOKUP(A30,Teilnehmer!$F$4:$AL$999,33,FALSE)&lt;&gt;B30,"WK-Nr. falsch zu Mannschafts-Nr.",LOOKUP(B30,WKNrListe,Übersicht!$B$7:$B$46)))))</f>
        <v/>
      </c>
      <c r="S30" s="195" t="s">
        <v>567</v>
      </c>
    </row>
    <row r="31" spans="1:19" ht="15">
      <c r="A31" s="190">
        <v>27</v>
      </c>
      <c r="B31" s="62"/>
      <c r="C31" s="63"/>
      <c r="D31" s="60"/>
      <c r="E31" s="60"/>
      <c r="F31" s="60"/>
      <c r="G31" s="60"/>
      <c r="H31" s="173"/>
      <c r="I31" s="173"/>
      <c r="J31" s="173"/>
      <c r="K31" s="173"/>
      <c r="L31" s="173"/>
      <c r="M31" s="173"/>
      <c r="N31" s="173"/>
      <c r="O31" s="173"/>
      <c r="P31" s="189">
        <f>COUNTIF(Teilnehmer!F:F,Mannschaften!A31)</f>
        <v>0</v>
      </c>
      <c r="R31" s="195" t="str">
        <f>IF((B31="")*(C31=""),"",IF(ISERROR(MATCH(B31,WKNrListe,0)),"WK falsch",IF(LOOKUP(B31,WKNrListe,Übersicht!$R$7:$R$46)="-","Das ist ein Einzel-WK ! -&gt; Ändern !",IF(VLOOKUP(A31,Teilnehmer!$F$4:$AL$999,33,FALSE)&lt;&gt;B31,"WK-Nr. falsch zu Mannschafts-Nr.",LOOKUP(B31,WKNrListe,Übersicht!$B$7:$B$46)))))</f>
        <v/>
      </c>
      <c r="S31" s="195" t="s">
        <v>568</v>
      </c>
    </row>
    <row r="32" spans="1:19" ht="15">
      <c r="A32" s="190">
        <v>28</v>
      </c>
      <c r="B32" s="62"/>
      <c r="C32" s="63"/>
      <c r="D32" s="60"/>
      <c r="E32" s="60"/>
      <c r="F32" s="60"/>
      <c r="G32" s="60"/>
      <c r="H32" s="173"/>
      <c r="I32" s="173"/>
      <c r="J32" s="173"/>
      <c r="K32" s="173"/>
      <c r="L32" s="173"/>
      <c r="M32" s="173"/>
      <c r="N32" s="173"/>
      <c r="O32" s="173"/>
      <c r="P32" s="189">
        <f>COUNTIF(Teilnehmer!F:F,Mannschaften!A32)</f>
        <v>0</v>
      </c>
      <c r="R32" s="195" t="str">
        <f>IF((B32="")*(C32=""),"",IF(ISERROR(MATCH(B32,WKNrListe,0)),"WK falsch",IF(LOOKUP(B32,WKNrListe,Übersicht!$R$7:$R$46)="-","Das ist ein Einzel-WK ! -&gt; Ändern !",IF(VLOOKUP(A32,Teilnehmer!$F$4:$AL$999,33,FALSE)&lt;&gt;B32,"WK-Nr. falsch zu Mannschafts-Nr.",LOOKUP(B32,WKNrListe,Übersicht!$B$7:$B$46)))))</f>
        <v/>
      </c>
      <c r="S32" s="195" t="s">
        <v>563</v>
      </c>
    </row>
    <row r="33" spans="1:19" ht="15">
      <c r="A33" s="190">
        <v>29</v>
      </c>
      <c r="B33" s="62"/>
      <c r="C33" s="63"/>
      <c r="D33" s="60"/>
      <c r="E33" s="60"/>
      <c r="F33" s="60"/>
      <c r="G33" s="60"/>
      <c r="H33" s="173"/>
      <c r="I33" s="173"/>
      <c r="J33" s="173"/>
      <c r="K33" s="173"/>
      <c r="L33" s="173"/>
      <c r="M33" s="173"/>
      <c r="N33" s="173"/>
      <c r="O33" s="173"/>
      <c r="P33" s="189">
        <f>COUNTIF(Teilnehmer!F:F,Mannschaften!A33)</f>
        <v>0</v>
      </c>
      <c r="R33" s="195" t="str">
        <f>IF((B33="")*(C33=""),"",IF(ISERROR(MATCH(B33,WKNrListe,0)),"WK falsch",IF(LOOKUP(B33,WKNrListe,Übersicht!$R$7:$R$46)="-","Das ist ein Einzel-WK ! -&gt; Ändern !",IF(VLOOKUP(A33,Teilnehmer!$F$4:$AL$999,33,FALSE)&lt;&gt;B33,"WK-Nr. falsch zu Mannschafts-Nr.",LOOKUP(B33,WKNrListe,Übersicht!$B$7:$B$46)))))</f>
        <v/>
      </c>
      <c r="S33" s="195" t="s">
        <v>565</v>
      </c>
    </row>
    <row r="34" spans="1:19" ht="15">
      <c r="A34" s="190">
        <v>30</v>
      </c>
      <c r="B34" s="62"/>
      <c r="C34" s="63"/>
      <c r="D34" s="60"/>
      <c r="E34" s="60"/>
      <c r="F34" s="60"/>
      <c r="G34" s="60"/>
      <c r="H34" s="173"/>
      <c r="I34" s="173"/>
      <c r="J34" s="173"/>
      <c r="K34" s="173"/>
      <c r="L34" s="173"/>
      <c r="M34" s="173"/>
      <c r="N34" s="173"/>
      <c r="O34" s="173"/>
      <c r="P34" s="189">
        <f>COUNTIF(Teilnehmer!F:F,Mannschaften!A34)</f>
        <v>0</v>
      </c>
      <c r="R34" s="195" t="str">
        <f>IF((B34="")*(C34=""),"",IF(ISERROR(MATCH(B34,WKNrListe,0)),"WK falsch",IF(LOOKUP(B34,WKNrListe,Übersicht!$R$7:$R$46)="-","Das ist ein Einzel-WK ! -&gt; Ändern !",IF(VLOOKUP(A34,Teilnehmer!$F$4:$AL$999,33,FALSE)&lt;&gt;B34,"WK-Nr. falsch zu Mannschafts-Nr.",LOOKUP(B34,WKNrListe,Übersicht!$B$7:$B$46)))))</f>
        <v/>
      </c>
    </row>
    <row r="35" spans="1:19" ht="15">
      <c r="A35" s="190">
        <v>31</v>
      </c>
      <c r="B35" s="62"/>
      <c r="C35" s="63"/>
      <c r="D35" s="60"/>
      <c r="E35" s="60"/>
      <c r="F35" s="60"/>
      <c r="G35" s="60"/>
      <c r="H35" s="173"/>
      <c r="I35" s="173"/>
      <c r="J35" s="173"/>
      <c r="K35" s="173"/>
      <c r="L35" s="173"/>
      <c r="M35" s="173"/>
      <c r="N35" s="173"/>
      <c r="O35" s="173"/>
      <c r="P35" s="189">
        <f>COUNTIF(Teilnehmer!F:F,Mannschaften!A35)</f>
        <v>0</v>
      </c>
      <c r="R35" s="195" t="str">
        <f>IF((B35="")*(C35=""),"",IF(ISERROR(MATCH(B35,WKNrListe,0)),"WK falsch",IF(LOOKUP(B35,WKNrListe,Übersicht!$R$7:$R$46)="-","Das ist ein Einzel-WK ! -&gt; Ändern !",IF(VLOOKUP(A35,Teilnehmer!$F$4:$AL$999,33,FALSE)&lt;&gt;B35,"WK-Nr. falsch zu Mannschafts-Nr.",LOOKUP(B35,WKNrListe,Übersicht!$B$7:$B$46)))))</f>
        <v/>
      </c>
      <c r="S35" s="195" t="s">
        <v>415</v>
      </c>
    </row>
    <row r="36" spans="1:19" ht="15">
      <c r="A36" s="190">
        <v>32</v>
      </c>
      <c r="B36" s="62"/>
      <c r="C36" s="63"/>
      <c r="D36" s="60"/>
      <c r="E36" s="60"/>
      <c r="F36" s="60"/>
      <c r="G36" s="60"/>
      <c r="H36" s="173"/>
      <c r="I36" s="173"/>
      <c r="J36" s="173"/>
      <c r="K36" s="173"/>
      <c r="L36" s="173"/>
      <c r="M36" s="173"/>
      <c r="N36" s="173"/>
      <c r="O36" s="173"/>
      <c r="P36" s="189">
        <f>COUNTIF(Teilnehmer!F:F,Mannschaften!A36)</f>
        <v>0</v>
      </c>
      <c r="R36" s="195" t="str">
        <f>IF((B36="")*(C36=""),"",IF(ISERROR(MATCH(B36,WKNrListe,0)),"WK falsch",IF(LOOKUP(B36,WKNrListe,Übersicht!$R$7:$R$46)="-","Das ist ein Einzel-WK ! -&gt; Ändern !",IF(VLOOKUP(A36,Teilnehmer!$F$4:$AL$999,33,FALSE)&lt;&gt;B36,"WK-Nr. falsch zu Mannschafts-Nr.",LOOKUP(B36,WKNrListe,Übersicht!$B$7:$B$46)))))</f>
        <v/>
      </c>
      <c r="S36" s="195" t="s">
        <v>599</v>
      </c>
    </row>
    <row r="37" spans="1:19" ht="15">
      <c r="A37" s="190">
        <v>33</v>
      </c>
      <c r="B37" s="62"/>
      <c r="C37" s="63"/>
      <c r="D37" s="60"/>
      <c r="E37" s="60"/>
      <c r="F37" s="60"/>
      <c r="G37" s="60"/>
      <c r="H37" s="173"/>
      <c r="I37" s="173"/>
      <c r="J37" s="173"/>
      <c r="K37" s="173"/>
      <c r="L37" s="173"/>
      <c r="M37" s="173"/>
      <c r="N37" s="173"/>
      <c r="O37" s="173"/>
      <c r="P37" s="189">
        <f>COUNTIF(Teilnehmer!F:F,Mannschaften!A37)</f>
        <v>0</v>
      </c>
      <c r="R37" s="195" t="str">
        <f>IF((B37="")*(C37=""),"",IF(ISERROR(MATCH(B37,WKNrListe,0)),"WK falsch",IF(LOOKUP(B37,WKNrListe,Übersicht!$R$7:$R$46)="-","Das ist ein Einzel-WK ! -&gt; Ändern !",IF(VLOOKUP(A37,Teilnehmer!$F$4:$AL$999,33,FALSE)&lt;&gt;B37,"WK-Nr. falsch zu Mannschafts-Nr.",LOOKUP(B37,WKNrListe,Übersicht!$B$7:$B$46)))))</f>
        <v/>
      </c>
      <c r="S37" s="195" t="s">
        <v>416</v>
      </c>
    </row>
    <row r="38" spans="1:19" ht="15">
      <c r="A38" s="190">
        <v>34</v>
      </c>
      <c r="B38" s="62"/>
      <c r="C38" s="63"/>
      <c r="D38" s="60"/>
      <c r="E38" s="60"/>
      <c r="F38" s="60"/>
      <c r="G38" s="60"/>
      <c r="H38" s="173"/>
      <c r="I38" s="173"/>
      <c r="J38" s="173"/>
      <c r="K38" s="173"/>
      <c r="L38" s="173"/>
      <c r="M38" s="173"/>
      <c r="N38" s="173"/>
      <c r="O38" s="173"/>
      <c r="P38" s="189">
        <f>COUNTIF(Teilnehmer!F:F,Mannschaften!A38)</f>
        <v>0</v>
      </c>
      <c r="R38" s="195" t="str">
        <f>IF((B38="")*(C38=""),"",IF(ISERROR(MATCH(B38,WKNrListe,0)),"WK falsch",IF(LOOKUP(B38,WKNrListe,Übersicht!$R$7:$R$46)="-","Das ist ein Einzel-WK ! -&gt; Ändern !",IF(VLOOKUP(A38,Teilnehmer!$F$4:$AL$999,33,FALSE)&lt;&gt;B38,"WK-Nr. falsch zu Mannschafts-Nr.",LOOKUP(B38,WKNrListe,Übersicht!$B$7:$B$46)))))</f>
        <v/>
      </c>
      <c r="S38" s="195" t="s">
        <v>441</v>
      </c>
    </row>
    <row r="39" spans="1:19" ht="15">
      <c r="A39" s="190">
        <v>35</v>
      </c>
      <c r="B39" s="62"/>
      <c r="C39" s="63"/>
      <c r="D39" s="60"/>
      <c r="E39" s="60"/>
      <c r="F39" s="60"/>
      <c r="G39" s="60"/>
      <c r="H39" s="173"/>
      <c r="I39" s="173"/>
      <c r="J39" s="173"/>
      <c r="K39" s="173"/>
      <c r="L39" s="173"/>
      <c r="M39" s="173"/>
      <c r="N39" s="173"/>
      <c r="O39" s="173"/>
      <c r="P39" s="189">
        <f>COUNTIF(Teilnehmer!F:F,Mannschaften!A39)</f>
        <v>0</v>
      </c>
      <c r="R39" s="195" t="str">
        <f>IF((B39="")*(C39=""),"",IF(ISERROR(MATCH(B39,WKNrListe,0)),"WK falsch",IF(LOOKUP(B39,WKNrListe,Übersicht!$R$7:$R$46)="-","Das ist ein Einzel-WK ! -&gt; Ändern !",IF(VLOOKUP(A39,Teilnehmer!$F$4:$AL$999,33,FALSE)&lt;&gt;B39,"WK-Nr. falsch zu Mannschafts-Nr.",LOOKUP(B39,WKNrListe,Übersicht!$B$7:$B$46)))))</f>
        <v/>
      </c>
    </row>
    <row r="40" spans="1:19" ht="15">
      <c r="A40" s="190">
        <v>36</v>
      </c>
      <c r="B40" s="62"/>
      <c r="C40" s="63"/>
      <c r="D40" s="60"/>
      <c r="E40" s="60"/>
      <c r="F40" s="60"/>
      <c r="G40" s="60"/>
      <c r="H40" s="173"/>
      <c r="I40" s="173"/>
      <c r="J40" s="173"/>
      <c r="K40" s="173"/>
      <c r="L40" s="173"/>
      <c r="M40" s="173"/>
      <c r="N40" s="173"/>
      <c r="O40" s="173"/>
      <c r="P40" s="189">
        <f>COUNTIF(Teilnehmer!F:F,Mannschaften!A40)</f>
        <v>0</v>
      </c>
      <c r="R40" s="195" t="str">
        <f>IF((B40="")*(C40=""),"",IF(ISERROR(MATCH(B40,WKNrListe,0)),"WK falsch",IF(LOOKUP(B40,WKNrListe,Übersicht!$R$7:$R$46)="-","Das ist ein Einzel-WK ! -&gt; Ändern !",IF(VLOOKUP(A40,Teilnehmer!$F$4:$AL$999,33,FALSE)&lt;&gt;B40,"WK-Nr. falsch zu Mannschafts-Nr.",LOOKUP(B40,WKNrListe,Übersicht!$B$7:$B$46)))))</f>
        <v/>
      </c>
    </row>
    <row r="41" spans="1:19" ht="15">
      <c r="A41" s="190">
        <v>37</v>
      </c>
      <c r="B41" s="62"/>
      <c r="C41" s="63"/>
      <c r="D41" s="60"/>
      <c r="E41" s="60"/>
      <c r="F41" s="60"/>
      <c r="G41" s="60"/>
      <c r="H41" s="173"/>
      <c r="I41" s="173"/>
      <c r="J41" s="173"/>
      <c r="K41" s="173"/>
      <c r="L41" s="173"/>
      <c r="M41" s="173"/>
      <c r="N41" s="173"/>
      <c r="O41" s="173"/>
      <c r="P41" s="189">
        <f>COUNTIF(Teilnehmer!F:F,Mannschaften!A41)</f>
        <v>0</v>
      </c>
      <c r="R41" s="195" t="str">
        <f>IF((B41="")*(C41=""),"",IF(ISERROR(MATCH(B41,WKNrListe,0)),"WK falsch",IF(LOOKUP(B41,WKNrListe,Übersicht!$R$7:$R$46)="-","Das ist ein Einzel-WK ! -&gt; Ändern !",IF(VLOOKUP(A41,Teilnehmer!$F$4:$AL$999,33,FALSE)&lt;&gt;B41,"WK-Nr. falsch zu Mannschafts-Nr.",LOOKUP(B41,WKNrListe,Übersicht!$B$7:$B$46)))))</f>
        <v/>
      </c>
    </row>
    <row r="42" spans="1:19" ht="15">
      <c r="A42" s="190">
        <v>38</v>
      </c>
      <c r="B42" s="62"/>
      <c r="C42" s="63"/>
      <c r="D42" s="60"/>
      <c r="E42" s="60"/>
      <c r="F42" s="60"/>
      <c r="G42" s="60"/>
      <c r="H42" s="173"/>
      <c r="I42" s="173"/>
      <c r="J42" s="173"/>
      <c r="K42" s="173"/>
      <c r="L42" s="173"/>
      <c r="M42" s="173"/>
      <c r="N42" s="173"/>
      <c r="O42" s="173"/>
      <c r="P42" s="189">
        <f>COUNTIF(Teilnehmer!F:F,Mannschaften!A42)</f>
        <v>0</v>
      </c>
      <c r="R42" s="195" t="str">
        <f>IF((B42="")*(C42=""),"",IF(ISERROR(MATCH(B42,WKNrListe,0)),"WK falsch",IF(LOOKUP(B42,WKNrListe,Übersicht!$R$7:$R$46)="-","Das ist ein Einzel-WK ! -&gt; Ändern !",IF(VLOOKUP(A42,Teilnehmer!$F$4:$AL$999,33,FALSE)&lt;&gt;B42,"WK-Nr. falsch zu Mannschafts-Nr.",LOOKUP(B42,WKNrListe,Übersicht!$B$7:$B$46)))))</f>
        <v/>
      </c>
    </row>
    <row r="43" spans="1:19" ht="15">
      <c r="A43" s="190">
        <v>39</v>
      </c>
      <c r="B43" s="62"/>
      <c r="C43" s="63"/>
      <c r="D43" s="60"/>
      <c r="E43" s="60"/>
      <c r="F43" s="60"/>
      <c r="G43" s="60"/>
      <c r="H43" s="173"/>
      <c r="I43" s="173"/>
      <c r="J43" s="173"/>
      <c r="K43" s="173"/>
      <c r="L43" s="173"/>
      <c r="M43" s="173"/>
      <c r="N43" s="173"/>
      <c r="O43" s="173"/>
      <c r="P43" s="189">
        <f>COUNTIF(Teilnehmer!F:F,Mannschaften!A43)</f>
        <v>0</v>
      </c>
      <c r="R43" s="195" t="str">
        <f>IF((B43="")*(C43=""),"",IF(ISERROR(MATCH(B43,WKNrListe,0)),"WK falsch",IF(LOOKUP(B43,WKNrListe,Übersicht!$R$7:$R$46)="-","Das ist ein Einzel-WK ! -&gt; Ändern !",IF(VLOOKUP(A43,Teilnehmer!$F$4:$AL$999,33,FALSE)&lt;&gt;B43,"WK-Nr. falsch zu Mannschafts-Nr.",LOOKUP(B43,WKNrListe,Übersicht!$B$7:$B$46)))))</f>
        <v/>
      </c>
    </row>
    <row r="44" spans="1:19" ht="15">
      <c r="A44" s="190">
        <v>40</v>
      </c>
      <c r="B44" s="62"/>
      <c r="C44" s="63"/>
      <c r="D44" s="60"/>
      <c r="E44" s="60"/>
      <c r="F44" s="60"/>
      <c r="G44" s="60"/>
      <c r="H44" s="173"/>
      <c r="I44" s="173"/>
      <c r="J44" s="173"/>
      <c r="K44" s="173"/>
      <c r="L44" s="173"/>
      <c r="M44" s="173"/>
      <c r="N44" s="173"/>
      <c r="O44" s="173"/>
      <c r="P44" s="189">
        <f>COUNTIF(Teilnehmer!F:F,Mannschaften!A44)</f>
        <v>0</v>
      </c>
      <c r="R44" s="195" t="str">
        <f>IF((B44="")*(C44=""),"",IF(ISERROR(MATCH(B44,WKNrListe,0)),"WK falsch",IF(LOOKUP(B44,WKNrListe,Übersicht!$R$7:$R$46)="-","Das ist ein Einzel-WK ! -&gt; Ändern !",IF(VLOOKUP(A44,Teilnehmer!$F$4:$AL$999,33,FALSE)&lt;&gt;B44,"WK-Nr. falsch zu Mannschafts-Nr.",LOOKUP(B44,WKNrListe,Übersicht!$B$7:$B$46)))))</f>
        <v/>
      </c>
    </row>
    <row r="45" spans="1:19" ht="15">
      <c r="A45" s="190">
        <v>41</v>
      </c>
      <c r="B45" s="62"/>
      <c r="C45" s="63"/>
      <c r="D45" s="60"/>
      <c r="E45" s="60"/>
      <c r="F45" s="60"/>
      <c r="G45" s="60"/>
      <c r="H45" s="173"/>
      <c r="I45" s="173"/>
      <c r="J45" s="173"/>
      <c r="K45" s="173"/>
      <c r="L45" s="173"/>
      <c r="M45" s="173"/>
      <c r="N45" s="173"/>
      <c r="O45" s="173"/>
      <c r="P45" s="189">
        <f>COUNTIF(Teilnehmer!F:F,Mannschaften!A45)</f>
        <v>0</v>
      </c>
      <c r="R45" s="195" t="str">
        <f>IF((B45="")*(C45=""),"",IF(ISERROR(MATCH(B45,WKNrListe,0)),"WK falsch",IF(LOOKUP(B45,WKNrListe,Übersicht!$R$7:$R$46)="-","Das ist ein Einzel-WK ! -&gt; Ändern !",IF(VLOOKUP(A45,Teilnehmer!$F$4:$AL$999,33,FALSE)&lt;&gt;B45,"WK-Nr. falsch zu Mannschafts-Nr.",LOOKUP(B45,WKNrListe,Übersicht!$B$7:$B$46)))))</f>
        <v/>
      </c>
    </row>
    <row r="46" spans="1:19" ht="15">
      <c r="A46" s="190">
        <v>42</v>
      </c>
      <c r="B46" s="62"/>
      <c r="C46" s="63"/>
      <c r="D46" s="60"/>
      <c r="E46" s="60"/>
      <c r="F46" s="60"/>
      <c r="G46" s="60"/>
      <c r="H46" s="173"/>
      <c r="I46" s="173"/>
      <c r="J46" s="173"/>
      <c r="K46" s="173"/>
      <c r="L46" s="173"/>
      <c r="M46" s="173"/>
      <c r="N46" s="173"/>
      <c r="O46" s="173"/>
      <c r="P46" s="189">
        <f>COUNTIF(Teilnehmer!F:F,Mannschaften!A46)</f>
        <v>0</v>
      </c>
      <c r="R46" s="195" t="str">
        <f>IF((B46="")*(C46=""),"",IF(ISERROR(MATCH(B46,WKNrListe,0)),"WK falsch",IF(LOOKUP(B46,WKNrListe,Übersicht!$R$7:$R$46)="-","Das ist ein Einzel-WK ! -&gt; Ändern !",IF(VLOOKUP(A46,Teilnehmer!$F$4:$AL$999,33,FALSE)&lt;&gt;B46,"WK-Nr. falsch zu Mannschafts-Nr.",LOOKUP(B46,WKNrListe,Übersicht!$B$7:$B$46)))))</f>
        <v/>
      </c>
    </row>
    <row r="47" spans="1:19" ht="15">
      <c r="A47" s="190">
        <v>43</v>
      </c>
      <c r="B47" s="62"/>
      <c r="C47" s="63"/>
      <c r="D47" s="60"/>
      <c r="E47" s="60"/>
      <c r="F47" s="60"/>
      <c r="G47" s="60"/>
      <c r="H47" s="173"/>
      <c r="I47" s="173"/>
      <c r="J47" s="173"/>
      <c r="K47" s="173"/>
      <c r="L47" s="173"/>
      <c r="M47" s="173"/>
      <c r="N47" s="173"/>
      <c r="O47" s="173"/>
      <c r="P47" s="189">
        <f>COUNTIF(Teilnehmer!F:F,Mannschaften!A47)</f>
        <v>0</v>
      </c>
      <c r="R47" s="195" t="str">
        <f>IF((B47="")*(C47=""),"",IF(ISERROR(MATCH(B47,WKNrListe,0)),"WK falsch",IF(LOOKUP(B47,WKNrListe,Übersicht!$R$7:$R$46)="-","Das ist ein Einzel-WK ! -&gt; Ändern !",IF(VLOOKUP(A47,Teilnehmer!$F$4:$AL$999,33,FALSE)&lt;&gt;B47,"WK-Nr. falsch zu Mannschafts-Nr.",LOOKUP(B47,WKNrListe,Übersicht!$B$7:$B$46)))))</f>
        <v/>
      </c>
    </row>
    <row r="48" spans="1:19" ht="15">
      <c r="A48" s="190">
        <v>44</v>
      </c>
      <c r="B48" s="62"/>
      <c r="C48" s="63"/>
      <c r="D48" s="60"/>
      <c r="E48" s="60"/>
      <c r="F48" s="60"/>
      <c r="G48" s="60"/>
      <c r="H48" s="173"/>
      <c r="I48" s="173"/>
      <c r="J48" s="173"/>
      <c r="K48" s="173"/>
      <c r="L48" s="173"/>
      <c r="M48" s="173"/>
      <c r="N48" s="173"/>
      <c r="O48" s="173"/>
      <c r="P48" s="189">
        <f>COUNTIF(Teilnehmer!F:F,Mannschaften!A48)</f>
        <v>0</v>
      </c>
      <c r="R48" s="195" t="str">
        <f>IF((B48="")*(C48=""),"",IF(ISERROR(MATCH(B48,WKNrListe,0)),"WK falsch",IF(LOOKUP(B48,WKNrListe,Übersicht!$R$7:$R$46)="-","Das ist ein Einzel-WK ! -&gt; Ändern !",IF(VLOOKUP(A48,Teilnehmer!$F$4:$AL$999,33,FALSE)&lt;&gt;B48,"WK-Nr. falsch zu Mannschafts-Nr.",LOOKUP(B48,WKNrListe,Übersicht!$B$7:$B$46)))))</f>
        <v/>
      </c>
    </row>
    <row r="49" spans="1:18" ht="15">
      <c r="A49" s="190">
        <v>45</v>
      </c>
      <c r="B49" s="62"/>
      <c r="C49" s="63"/>
      <c r="D49" s="60"/>
      <c r="E49" s="60"/>
      <c r="F49" s="60"/>
      <c r="G49" s="60"/>
      <c r="H49" s="173"/>
      <c r="I49" s="173"/>
      <c r="J49" s="173"/>
      <c r="K49" s="173"/>
      <c r="L49" s="173"/>
      <c r="M49" s="173"/>
      <c r="N49" s="173"/>
      <c r="O49" s="173"/>
      <c r="P49" s="189">
        <f>COUNTIF(Teilnehmer!F:F,Mannschaften!A49)</f>
        <v>0</v>
      </c>
      <c r="R49" s="195" t="str">
        <f>IF((B49="")*(C49=""),"",IF(ISERROR(MATCH(B49,WKNrListe,0)),"WK falsch",IF(LOOKUP(B49,WKNrListe,Übersicht!$R$7:$R$46)="-","Das ist ein Einzel-WK ! -&gt; Ändern !",IF(VLOOKUP(A49,Teilnehmer!$F$4:$AL$999,33,FALSE)&lt;&gt;B49,"WK-Nr. falsch zu Mannschafts-Nr.",LOOKUP(B49,WKNrListe,Übersicht!$B$7:$B$46)))))</f>
        <v/>
      </c>
    </row>
    <row r="50" spans="1:18" ht="15">
      <c r="A50" s="190">
        <v>46</v>
      </c>
      <c r="B50" s="62"/>
      <c r="C50" s="63"/>
      <c r="D50" s="60"/>
      <c r="E50" s="60"/>
      <c r="F50" s="60"/>
      <c r="G50" s="60"/>
      <c r="H50" s="173"/>
      <c r="I50" s="173"/>
      <c r="J50" s="173"/>
      <c r="K50" s="173"/>
      <c r="L50" s="173"/>
      <c r="M50" s="173"/>
      <c r="N50" s="173"/>
      <c r="O50" s="173"/>
      <c r="P50" s="189">
        <f>COUNTIF(Teilnehmer!F:F,Mannschaften!A50)</f>
        <v>0</v>
      </c>
      <c r="R50" s="195" t="str">
        <f>IF((B50="")*(C50=""),"",IF(ISERROR(MATCH(B50,WKNrListe,0)),"WK falsch",IF(LOOKUP(B50,WKNrListe,Übersicht!$R$7:$R$46)="-","Das ist ein Einzel-WK ! -&gt; Ändern !",IF(VLOOKUP(A50,Teilnehmer!$F$4:$AL$999,33,FALSE)&lt;&gt;B50,"WK-Nr. falsch zu Mannschafts-Nr.",LOOKUP(B50,WKNrListe,Übersicht!$B$7:$B$46)))))</f>
        <v/>
      </c>
    </row>
    <row r="51" spans="1:18" ht="15">
      <c r="A51" s="190">
        <v>47</v>
      </c>
      <c r="B51" s="62"/>
      <c r="C51" s="63"/>
      <c r="D51" s="60"/>
      <c r="E51" s="60"/>
      <c r="F51" s="60"/>
      <c r="G51" s="60"/>
      <c r="H51" s="173"/>
      <c r="I51" s="173"/>
      <c r="J51" s="173"/>
      <c r="K51" s="173"/>
      <c r="L51" s="173"/>
      <c r="M51" s="173"/>
      <c r="N51" s="173"/>
      <c r="O51" s="173"/>
      <c r="P51" s="189">
        <f>COUNTIF(Teilnehmer!F:F,Mannschaften!A51)</f>
        <v>0</v>
      </c>
      <c r="R51" s="195" t="str">
        <f>IF((B51="")*(C51=""),"",IF(ISERROR(MATCH(B51,WKNrListe,0)),"WK falsch",IF(LOOKUP(B51,WKNrListe,Übersicht!$R$7:$R$46)="-","Das ist ein Einzel-WK ! -&gt; Ändern !",IF(VLOOKUP(A51,Teilnehmer!$F$4:$AL$999,33,FALSE)&lt;&gt;B51,"WK-Nr. falsch zu Mannschafts-Nr.",LOOKUP(B51,WKNrListe,Übersicht!$B$7:$B$46)))))</f>
        <v/>
      </c>
    </row>
    <row r="52" spans="1:18" ht="15">
      <c r="A52" s="190">
        <v>48</v>
      </c>
      <c r="B52" s="62"/>
      <c r="C52" s="63"/>
      <c r="D52" s="60"/>
      <c r="E52" s="60"/>
      <c r="F52" s="60"/>
      <c r="G52" s="60"/>
      <c r="H52" s="173"/>
      <c r="I52" s="173"/>
      <c r="J52" s="173"/>
      <c r="K52" s="173"/>
      <c r="L52" s="173"/>
      <c r="M52" s="173"/>
      <c r="N52" s="173"/>
      <c r="O52" s="173"/>
      <c r="P52" s="189">
        <f>COUNTIF(Teilnehmer!F:F,Mannschaften!A52)</f>
        <v>0</v>
      </c>
      <c r="R52" s="195" t="str">
        <f>IF((B52="")*(C52=""),"",IF(ISERROR(MATCH(B52,WKNrListe,0)),"WK falsch",IF(LOOKUP(B52,WKNrListe,Übersicht!$R$7:$R$46)="-","Das ist ein Einzel-WK ! -&gt; Ändern !",IF(VLOOKUP(A52,Teilnehmer!$F$4:$AL$999,33,FALSE)&lt;&gt;B52,"WK-Nr. falsch zu Mannschafts-Nr.",LOOKUP(B52,WKNrListe,Übersicht!$B$7:$B$46)))))</f>
        <v/>
      </c>
    </row>
    <row r="53" spans="1:18" ht="15">
      <c r="A53" s="190">
        <v>49</v>
      </c>
      <c r="B53" s="62"/>
      <c r="C53" s="63"/>
      <c r="D53" s="60"/>
      <c r="E53" s="60"/>
      <c r="F53" s="60"/>
      <c r="G53" s="60"/>
      <c r="H53" s="173"/>
      <c r="I53" s="173"/>
      <c r="J53" s="173"/>
      <c r="K53" s="173"/>
      <c r="L53" s="173"/>
      <c r="M53" s="173"/>
      <c r="N53" s="173"/>
      <c r="O53" s="173"/>
      <c r="P53" s="189">
        <f>COUNTIF(Teilnehmer!F:F,Mannschaften!A53)</f>
        <v>0</v>
      </c>
      <c r="R53" s="195" t="str">
        <f>IF((B53="")*(C53=""),"",IF(ISERROR(MATCH(B53,WKNrListe,0)),"WK falsch",IF(LOOKUP(B53,WKNrListe,Übersicht!$R$7:$R$46)="-","Das ist ein Einzel-WK ! -&gt; Ändern !",IF(VLOOKUP(A53,Teilnehmer!$F$4:$AL$999,33,FALSE)&lt;&gt;B53,"WK-Nr. falsch zu Mannschafts-Nr.",LOOKUP(B53,WKNrListe,Übersicht!$B$7:$B$46)))))</f>
        <v/>
      </c>
    </row>
    <row r="54" spans="1:18" ht="15">
      <c r="A54" s="191">
        <v>50</v>
      </c>
      <c r="B54" s="64"/>
      <c r="C54" s="65"/>
      <c r="D54" s="64"/>
      <c r="E54" s="64"/>
      <c r="F54" s="64"/>
      <c r="G54" s="64"/>
      <c r="H54" s="166"/>
      <c r="I54" s="166"/>
      <c r="J54" s="166"/>
      <c r="K54" s="166"/>
      <c r="L54" s="166"/>
      <c r="M54" s="166"/>
      <c r="N54" s="166"/>
      <c r="O54" s="166"/>
      <c r="P54" s="192">
        <f>COUNTIF(Teilnehmer!F:F,Mannschaften!A54)</f>
        <v>0</v>
      </c>
      <c r="R54" s="195" t="str">
        <f>IF((B54="")*(C54=""),"",IF(ISERROR(MATCH(B54,WKNrListe,0)),"WK falsch",IF(LOOKUP(B54,WKNrListe,Übersicht!$R$7:$R$46)="-","Das ist ein Einzel-WK ! -&gt; Ändern !",IF(VLOOKUP(A54,Teilnehmer!$F$4:$AL$999,33,FALSE)&lt;&gt;B54,"WK-Nr. falsch zu Mannschafts-Nr.",LOOKUP(B54,WKNrListe,Übersicht!$B$7:$B$46)))))</f>
        <v/>
      </c>
    </row>
    <row r="55" spans="1:18">
      <c r="D55" s="33"/>
      <c r="E55" s="33"/>
      <c r="F55" s="33"/>
      <c r="G55" s="33"/>
      <c r="H55" s="33"/>
      <c r="I55" s="33"/>
      <c r="J55" s="33"/>
      <c r="K55" s="33"/>
      <c r="L55" s="33"/>
      <c r="M55" s="33"/>
      <c r="N55" s="33"/>
      <c r="O55" s="33"/>
    </row>
    <row r="56" spans="1:18">
      <c r="D56" s="33"/>
      <c r="E56" s="33"/>
      <c r="F56" s="33"/>
      <c r="G56" s="33"/>
      <c r="H56" s="33"/>
      <c r="I56" s="33"/>
      <c r="J56" s="33"/>
      <c r="K56" s="33"/>
      <c r="L56" s="33"/>
      <c r="M56" s="33"/>
      <c r="N56" s="33"/>
      <c r="O56" s="33"/>
    </row>
    <row r="57" spans="1:18">
      <c r="D57" s="33"/>
      <c r="E57" s="33"/>
      <c r="F57" s="33"/>
      <c r="G57" s="33"/>
      <c r="H57" s="33"/>
      <c r="I57" s="33"/>
      <c r="J57" s="33"/>
      <c r="K57" s="33"/>
      <c r="L57" s="33"/>
      <c r="M57" s="33"/>
      <c r="N57" s="33"/>
      <c r="O57" s="33"/>
    </row>
    <row r="58" spans="1:18">
      <c r="D58" s="33"/>
      <c r="E58" s="33"/>
      <c r="F58" s="33"/>
      <c r="G58" s="33"/>
      <c r="H58" s="33"/>
      <c r="I58" s="33"/>
      <c r="J58" s="33"/>
      <c r="K58" s="33"/>
      <c r="L58" s="33"/>
      <c r="M58" s="33"/>
      <c r="N58" s="33"/>
      <c r="O58" s="33"/>
    </row>
    <row r="59" spans="1:18">
      <c r="D59" s="33"/>
      <c r="E59" s="33"/>
      <c r="F59" s="33"/>
      <c r="G59" s="33"/>
      <c r="H59" s="33"/>
      <c r="I59" s="33"/>
      <c r="J59" s="33"/>
      <c r="K59" s="33"/>
      <c r="L59" s="33"/>
      <c r="M59" s="33"/>
      <c r="N59" s="33"/>
      <c r="O59" s="33"/>
    </row>
    <row r="60" spans="1:18">
      <c r="D60" s="33"/>
      <c r="E60" s="33"/>
      <c r="F60" s="33"/>
      <c r="G60" s="33"/>
      <c r="H60" s="33"/>
      <c r="I60" s="33"/>
      <c r="J60" s="33"/>
      <c r="K60" s="33"/>
      <c r="L60" s="33"/>
      <c r="M60" s="33"/>
      <c r="N60" s="33"/>
      <c r="O60" s="33"/>
    </row>
    <row r="61" spans="1:18">
      <c r="D61" s="33"/>
      <c r="E61" s="33"/>
      <c r="F61" s="33"/>
      <c r="G61" s="33"/>
      <c r="H61" s="33"/>
      <c r="I61" s="33"/>
      <c r="J61" s="33"/>
      <c r="K61" s="33"/>
      <c r="L61" s="33"/>
      <c r="M61" s="33"/>
      <c r="N61" s="33"/>
      <c r="O61" s="33"/>
    </row>
    <row r="62" spans="1:18">
      <c r="D62" s="33"/>
      <c r="E62" s="33"/>
      <c r="F62" s="33"/>
      <c r="G62" s="33"/>
      <c r="H62" s="33"/>
      <c r="I62" s="33"/>
      <c r="J62" s="33"/>
      <c r="K62" s="33"/>
      <c r="L62" s="33"/>
      <c r="M62" s="33"/>
      <c r="N62" s="33"/>
      <c r="O62" s="33"/>
    </row>
    <row r="63" spans="1:18">
      <c r="D63" s="33"/>
      <c r="E63" s="33"/>
      <c r="F63" s="33"/>
      <c r="G63" s="33"/>
      <c r="H63" s="33"/>
      <c r="I63" s="33"/>
      <c r="J63" s="33"/>
      <c r="K63" s="33"/>
      <c r="L63" s="33"/>
      <c r="M63" s="33"/>
      <c r="N63" s="33"/>
      <c r="O63" s="33"/>
    </row>
    <row r="64" spans="1:18">
      <c r="D64" s="33"/>
      <c r="E64" s="33"/>
      <c r="F64" s="33"/>
      <c r="G64" s="33"/>
      <c r="H64" s="33"/>
      <c r="I64" s="33"/>
      <c r="J64" s="33"/>
      <c r="K64" s="33"/>
      <c r="L64" s="33"/>
      <c r="M64" s="33"/>
      <c r="N64" s="33"/>
      <c r="O64" s="33"/>
    </row>
    <row r="65" spans="4:15">
      <c r="D65" s="33"/>
      <c r="E65" s="33"/>
      <c r="F65" s="33"/>
      <c r="G65" s="33"/>
      <c r="H65" s="33"/>
      <c r="I65" s="33"/>
      <c r="J65" s="33"/>
      <c r="K65" s="33"/>
      <c r="L65" s="33"/>
      <c r="M65" s="33"/>
      <c r="N65" s="33"/>
      <c r="O65" s="33"/>
    </row>
    <row r="66" spans="4:15">
      <c r="D66" s="33"/>
      <c r="E66" s="33"/>
      <c r="F66" s="33"/>
      <c r="G66" s="33"/>
      <c r="H66" s="33"/>
      <c r="I66" s="33"/>
      <c r="J66" s="33"/>
      <c r="K66" s="33"/>
      <c r="L66" s="33"/>
      <c r="M66" s="33"/>
      <c r="N66" s="33"/>
      <c r="O66" s="33"/>
    </row>
    <row r="67" spans="4:15">
      <c r="D67" s="33"/>
      <c r="E67" s="33"/>
      <c r="F67" s="33"/>
      <c r="G67" s="33"/>
      <c r="H67" s="33"/>
      <c r="I67" s="33"/>
      <c r="J67" s="33"/>
      <c r="K67" s="33"/>
      <c r="L67" s="33"/>
      <c r="M67" s="33"/>
      <c r="N67" s="33"/>
      <c r="O67" s="33"/>
    </row>
    <row r="68" spans="4:15">
      <c r="D68" s="33"/>
      <c r="E68" s="33"/>
      <c r="F68" s="33"/>
      <c r="G68" s="33"/>
      <c r="H68" s="33"/>
      <c r="I68" s="33"/>
      <c r="J68" s="33"/>
      <c r="K68" s="33"/>
      <c r="L68" s="33"/>
      <c r="M68" s="33"/>
      <c r="N68" s="33"/>
      <c r="O68" s="33"/>
    </row>
    <row r="69" spans="4:15">
      <c r="D69" s="33"/>
      <c r="E69" s="33"/>
      <c r="F69" s="33"/>
      <c r="G69" s="33"/>
      <c r="H69" s="33"/>
      <c r="I69" s="33"/>
      <c r="J69" s="33"/>
      <c r="K69" s="33"/>
      <c r="L69" s="33"/>
      <c r="M69" s="33"/>
      <c r="N69" s="33"/>
      <c r="O69" s="33"/>
    </row>
    <row r="70" spans="4:15">
      <c r="D70" s="33"/>
      <c r="E70" s="33"/>
      <c r="F70" s="33"/>
      <c r="G70" s="33"/>
      <c r="H70" s="33"/>
      <c r="I70" s="33"/>
      <c r="J70" s="33"/>
      <c r="K70" s="33"/>
      <c r="L70" s="33"/>
      <c r="M70" s="33"/>
      <c r="N70" s="33"/>
      <c r="O70" s="33"/>
    </row>
    <row r="71" spans="4:15">
      <c r="D71" s="33"/>
      <c r="E71" s="33"/>
      <c r="F71" s="33"/>
      <c r="G71" s="33"/>
      <c r="H71" s="33"/>
      <c r="I71" s="33"/>
      <c r="J71" s="33"/>
      <c r="K71" s="33"/>
      <c r="L71" s="33"/>
      <c r="M71" s="33"/>
      <c r="N71" s="33"/>
      <c r="O71" s="33"/>
    </row>
    <row r="72" spans="4:15">
      <c r="D72" s="33"/>
      <c r="E72" s="33"/>
      <c r="F72" s="33"/>
      <c r="G72" s="33"/>
      <c r="H72" s="33"/>
      <c r="I72" s="33"/>
      <c r="J72" s="33"/>
      <c r="K72" s="33"/>
      <c r="L72" s="33"/>
      <c r="M72" s="33"/>
      <c r="N72" s="33"/>
      <c r="O72" s="33"/>
    </row>
    <row r="73" spans="4:15">
      <c r="D73" s="33"/>
      <c r="E73" s="33"/>
      <c r="F73" s="33"/>
      <c r="G73" s="33"/>
      <c r="H73" s="33"/>
      <c r="I73" s="33"/>
      <c r="J73" s="33"/>
      <c r="K73" s="33"/>
      <c r="L73" s="33"/>
      <c r="M73" s="33"/>
      <c r="N73" s="33"/>
      <c r="O73" s="33"/>
    </row>
    <row r="74" spans="4:15">
      <c r="D74" s="33"/>
      <c r="E74" s="33"/>
      <c r="F74" s="33"/>
      <c r="G74" s="33"/>
      <c r="H74" s="33"/>
      <c r="I74" s="33"/>
      <c r="J74" s="33"/>
      <c r="K74" s="33"/>
      <c r="L74" s="33"/>
      <c r="M74" s="33"/>
      <c r="N74" s="33"/>
      <c r="O74" s="33"/>
    </row>
    <row r="75" spans="4:15">
      <c r="D75" s="33"/>
      <c r="E75" s="33"/>
      <c r="F75" s="33"/>
      <c r="G75" s="33"/>
      <c r="H75" s="33"/>
      <c r="I75" s="33"/>
      <c r="J75" s="33"/>
      <c r="K75" s="33"/>
      <c r="L75" s="33"/>
      <c r="M75" s="33"/>
      <c r="N75" s="33"/>
      <c r="O75" s="33"/>
    </row>
    <row r="76" spans="4:15">
      <c r="D76" s="33"/>
      <c r="E76" s="33"/>
      <c r="F76" s="33"/>
      <c r="G76" s="33"/>
      <c r="H76" s="33"/>
      <c r="I76" s="33"/>
      <c r="J76" s="33"/>
      <c r="K76" s="33"/>
      <c r="L76" s="33"/>
      <c r="M76" s="33"/>
      <c r="N76" s="33"/>
      <c r="O76" s="33"/>
    </row>
    <row r="77" spans="4:15">
      <c r="D77" s="33"/>
      <c r="E77" s="33"/>
      <c r="F77" s="33"/>
      <c r="G77" s="33"/>
      <c r="H77" s="33"/>
      <c r="I77" s="33"/>
      <c r="J77" s="33"/>
      <c r="K77" s="33"/>
      <c r="L77" s="33"/>
      <c r="M77" s="33"/>
      <c r="N77" s="33"/>
      <c r="O77" s="33"/>
    </row>
    <row r="78" spans="4:15">
      <c r="D78" s="33"/>
      <c r="E78" s="33"/>
      <c r="F78" s="33"/>
      <c r="G78" s="33"/>
      <c r="H78" s="33"/>
      <c r="I78" s="33"/>
      <c r="J78" s="33"/>
      <c r="K78" s="33"/>
      <c r="L78" s="33"/>
      <c r="M78" s="33"/>
      <c r="N78" s="33"/>
      <c r="O78" s="33"/>
    </row>
    <row r="79" spans="4:15">
      <c r="D79" s="33"/>
      <c r="E79" s="33"/>
      <c r="F79" s="33"/>
      <c r="G79" s="33"/>
      <c r="H79" s="33"/>
      <c r="I79" s="33"/>
      <c r="J79" s="33"/>
      <c r="K79" s="33"/>
      <c r="L79" s="33"/>
      <c r="M79" s="33"/>
      <c r="N79" s="33"/>
      <c r="O79" s="33"/>
    </row>
    <row r="80" spans="4:15">
      <c r="D80" s="33"/>
      <c r="E80" s="33"/>
      <c r="F80" s="33"/>
      <c r="G80" s="33"/>
      <c r="H80" s="33"/>
      <c r="I80" s="33"/>
      <c r="J80" s="33"/>
      <c r="K80" s="33"/>
      <c r="L80" s="33"/>
      <c r="M80" s="33"/>
      <c r="N80" s="33"/>
      <c r="O80" s="33"/>
    </row>
    <row r="81" spans="4:15">
      <c r="D81" s="33"/>
      <c r="E81" s="33"/>
      <c r="F81" s="33"/>
      <c r="G81" s="33"/>
      <c r="H81" s="33"/>
      <c r="I81" s="33"/>
      <c r="J81" s="33"/>
      <c r="K81" s="33"/>
      <c r="L81" s="33"/>
      <c r="M81" s="33"/>
      <c r="N81" s="33"/>
      <c r="O81" s="33"/>
    </row>
    <row r="82" spans="4:15">
      <c r="D82" s="33"/>
      <c r="E82" s="33"/>
      <c r="F82" s="33"/>
      <c r="G82" s="33"/>
      <c r="H82" s="33"/>
      <c r="I82" s="33"/>
      <c r="J82" s="33"/>
      <c r="K82" s="33"/>
      <c r="L82" s="33"/>
      <c r="M82" s="33"/>
      <c r="N82" s="33"/>
      <c r="O82" s="33"/>
    </row>
    <row r="83" spans="4:15">
      <c r="D83" s="33"/>
      <c r="E83" s="33"/>
      <c r="F83" s="33"/>
      <c r="G83" s="33"/>
      <c r="H83" s="33"/>
      <c r="I83" s="33"/>
      <c r="J83" s="33"/>
      <c r="K83" s="33"/>
      <c r="L83" s="33"/>
      <c r="M83" s="33"/>
      <c r="N83" s="33"/>
      <c r="O83" s="33"/>
    </row>
    <row r="84" spans="4:15">
      <c r="D84" s="33"/>
      <c r="E84" s="33"/>
      <c r="F84" s="33"/>
      <c r="G84" s="33"/>
      <c r="H84" s="33"/>
      <c r="I84" s="33"/>
      <c r="J84" s="33"/>
      <c r="K84" s="33"/>
      <c r="L84" s="33"/>
      <c r="M84" s="33"/>
      <c r="N84" s="33"/>
      <c r="O84" s="33"/>
    </row>
    <row r="85" spans="4:15">
      <c r="D85" s="33"/>
      <c r="E85" s="33"/>
      <c r="F85" s="33"/>
      <c r="G85" s="33"/>
      <c r="H85" s="33"/>
      <c r="I85" s="33"/>
      <c r="J85" s="33"/>
      <c r="K85" s="33"/>
      <c r="L85" s="33"/>
      <c r="M85" s="33"/>
      <c r="N85" s="33"/>
      <c r="O85" s="33"/>
    </row>
    <row r="86" spans="4:15">
      <c r="D86" s="33"/>
      <c r="E86" s="33"/>
      <c r="F86" s="33"/>
      <c r="G86" s="33"/>
      <c r="H86" s="33"/>
      <c r="I86" s="33"/>
      <c r="J86" s="33"/>
      <c r="K86" s="33"/>
      <c r="L86" s="33"/>
      <c r="M86" s="33"/>
      <c r="N86" s="33"/>
      <c r="O86" s="33"/>
    </row>
    <row r="87" spans="4:15">
      <c r="D87" s="33"/>
      <c r="E87" s="33"/>
      <c r="F87" s="33"/>
      <c r="G87" s="33"/>
      <c r="H87" s="33"/>
      <c r="I87" s="33"/>
      <c r="J87" s="33"/>
      <c r="K87" s="33"/>
      <c r="L87" s="33"/>
      <c r="M87" s="33"/>
      <c r="N87" s="33"/>
      <c r="O87" s="33"/>
    </row>
    <row r="88" spans="4:15">
      <c r="D88" s="33"/>
      <c r="E88" s="33"/>
      <c r="F88" s="33"/>
      <c r="G88" s="33"/>
      <c r="H88" s="33"/>
      <c r="I88" s="33"/>
      <c r="J88" s="33"/>
      <c r="K88" s="33"/>
      <c r="L88" s="33"/>
      <c r="M88" s="33"/>
      <c r="N88" s="33"/>
      <c r="O88" s="33"/>
    </row>
    <row r="89" spans="4:15">
      <c r="D89" s="33"/>
      <c r="E89" s="33"/>
      <c r="F89" s="33"/>
      <c r="G89" s="33"/>
      <c r="H89" s="33"/>
      <c r="I89" s="33"/>
      <c r="J89" s="33"/>
      <c r="K89" s="33"/>
      <c r="L89" s="33"/>
      <c r="M89" s="33"/>
      <c r="N89" s="33"/>
      <c r="O89" s="33"/>
    </row>
    <row r="90" spans="4:15">
      <c r="D90" s="33"/>
      <c r="E90" s="33"/>
      <c r="F90" s="33"/>
      <c r="G90" s="33"/>
      <c r="H90" s="33"/>
      <c r="I90" s="33"/>
      <c r="J90" s="33"/>
      <c r="K90" s="33"/>
      <c r="L90" s="33"/>
      <c r="M90" s="33"/>
      <c r="N90" s="33"/>
      <c r="O90" s="33"/>
    </row>
    <row r="91" spans="4:15">
      <c r="D91" s="33"/>
      <c r="E91" s="33"/>
      <c r="F91" s="33"/>
      <c r="G91" s="33"/>
      <c r="H91" s="33"/>
      <c r="I91" s="33"/>
      <c r="J91" s="33"/>
      <c r="K91" s="33"/>
      <c r="L91" s="33"/>
      <c r="M91" s="33"/>
      <c r="N91" s="33"/>
      <c r="O91" s="33"/>
    </row>
    <row r="92" spans="4:15">
      <c r="D92" s="33"/>
      <c r="E92" s="33"/>
      <c r="F92" s="33"/>
      <c r="G92" s="33"/>
      <c r="H92" s="33"/>
      <c r="I92" s="33"/>
      <c r="J92" s="33"/>
      <c r="K92" s="33"/>
      <c r="L92" s="33"/>
      <c r="M92" s="33"/>
      <c r="N92" s="33"/>
      <c r="O92" s="33"/>
    </row>
    <row r="93" spans="4:15">
      <c r="D93" s="33"/>
      <c r="E93" s="33"/>
      <c r="F93" s="33"/>
      <c r="G93" s="33"/>
      <c r="H93" s="33"/>
      <c r="I93" s="33"/>
      <c r="J93" s="33"/>
      <c r="K93" s="33"/>
      <c r="L93" s="33"/>
      <c r="M93" s="33"/>
      <c r="N93" s="33"/>
      <c r="O93" s="33"/>
    </row>
    <row r="94" spans="4:15">
      <c r="D94" s="33"/>
      <c r="E94" s="33"/>
      <c r="F94" s="33"/>
      <c r="G94" s="33"/>
      <c r="H94" s="33"/>
      <c r="I94" s="33"/>
      <c r="J94" s="33"/>
      <c r="K94" s="33"/>
      <c r="L94" s="33"/>
      <c r="M94" s="33"/>
      <c r="N94" s="33"/>
      <c r="O94" s="33"/>
    </row>
    <row r="95" spans="4:15">
      <c r="D95" s="33"/>
      <c r="E95" s="33"/>
      <c r="F95" s="33"/>
      <c r="G95" s="33"/>
      <c r="H95" s="33"/>
      <c r="I95" s="33"/>
      <c r="J95" s="33"/>
      <c r="K95" s="33"/>
      <c r="L95" s="33"/>
      <c r="M95" s="33"/>
      <c r="N95" s="33"/>
      <c r="O95" s="33"/>
    </row>
    <row r="96" spans="4:15">
      <c r="D96" s="33"/>
      <c r="E96" s="33"/>
      <c r="F96" s="33"/>
      <c r="G96" s="33"/>
      <c r="H96" s="33"/>
      <c r="I96" s="33"/>
      <c r="J96" s="33"/>
      <c r="K96" s="33"/>
      <c r="L96" s="33"/>
      <c r="M96" s="33"/>
      <c r="N96" s="33"/>
      <c r="O96" s="33"/>
    </row>
    <row r="97" spans="4:15">
      <c r="D97" s="33"/>
      <c r="E97" s="33"/>
      <c r="F97" s="33"/>
      <c r="G97" s="33"/>
      <c r="H97" s="33"/>
      <c r="I97" s="33"/>
      <c r="J97" s="33"/>
      <c r="K97" s="33"/>
      <c r="L97" s="33"/>
      <c r="M97" s="33"/>
      <c r="N97" s="33"/>
      <c r="O97" s="33"/>
    </row>
    <row r="98" spans="4:15">
      <c r="D98" s="33"/>
      <c r="E98" s="33"/>
      <c r="F98" s="33"/>
      <c r="G98" s="33"/>
      <c r="H98" s="33"/>
      <c r="I98" s="33"/>
      <c r="J98" s="33"/>
      <c r="K98" s="33"/>
      <c r="L98" s="33"/>
      <c r="M98" s="33"/>
      <c r="N98" s="33"/>
      <c r="O98" s="33"/>
    </row>
    <row r="99" spans="4:15">
      <c r="D99" s="33"/>
      <c r="E99" s="33"/>
      <c r="F99" s="33"/>
      <c r="G99" s="33"/>
      <c r="H99" s="33"/>
      <c r="I99" s="33"/>
      <c r="J99" s="33"/>
      <c r="K99" s="33"/>
      <c r="L99" s="33"/>
      <c r="M99" s="33"/>
      <c r="N99" s="33"/>
      <c r="O99" s="33"/>
    </row>
    <row r="100" spans="4:15">
      <c r="D100" s="33"/>
      <c r="E100" s="33"/>
      <c r="F100" s="33"/>
      <c r="G100" s="33"/>
      <c r="H100" s="33"/>
      <c r="I100" s="33"/>
      <c r="J100" s="33"/>
      <c r="K100" s="33"/>
      <c r="L100" s="33"/>
      <c r="M100" s="33"/>
      <c r="N100" s="33"/>
      <c r="O100" s="33"/>
    </row>
    <row r="101" spans="4:15">
      <c r="D101" s="33"/>
      <c r="E101" s="33"/>
      <c r="F101" s="33"/>
      <c r="G101" s="33"/>
      <c r="H101" s="33"/>
      <c r="I101" s="33"/>
      <c r="J101" s="33"/>
      <c r="K101" s="33"/>
      <c r="L101" s="33"/>
      <c r="M101" s="33"/>
      <c r="N101" s="33"/>
      <c r="O101" s="33"/>
    </row>
    <row r="102" spans="4:15">
      <c r="D102" s="33"/>
      <c r="E102" s="33"/>
      <c r="F102" s="33"/>
      <c r="G102" s="33"/>
      <c r="H102" s="33"/>
      <c r="I102" s="33"/>
      <c r="J102" s="33"/>
      <c r="K102" s="33"/>
      <c r="L102" s="33"/>
      <c r="M102" s="33"/>
      <c r="N102" s="33"/>
      <c r="O102" s="33"/>
    </row>
    <row r="103" spans="4:15">
      <c r="D103" s="33"/>
      <c r="E103" s="33"/>
      <c r="F103" s="33"/>
      <c r="G103" s="33"/>
      <c r="H103" s="33"/>
      <c r="I103" s="33"/>
      <c r="J103" s="33"/>
      <c r="K103" s="33"/>
      <c r="L103" s="33"/>
      <c r="M103" s="33"/>
      <c r="N103" s="33"/>
      <c r="O103" s="33"/>
    </row>
    <row r="104" spans="4:15">
      <c r="D104" s="33"/>
      <c r="E104" s="33"/>
      <c r="F104" s="33"/>
      <c r="G104" s="33"/>
      <c r="H104" s="33"/>
      <c r="I104" s="33"/>
      <c r="J104" s="33"/>
      <c r="K104" s="33"/>
      <c r="L104" s="33"/>
      <c r="M104" s="33"/>
      <c r="N104" s="33"/>
      <c r="O104" s="33"/>
    </row>
    <row r="105" spans="4:15">
      <c r="D105" s="33"/>
      <c r="E105" s="33"/>
      <c r="F105" s="33"/>
      <c r="G105" s="33"/>
      <c r="H105" s="33"/>
      <c r="I105" s="33"/>
      <c r="J105" s="33"/>
      <c r="K105" s="33"/>
      <c r="L105" s="33"/>
      <c r="M105" s="33"/>
      <c r="N105" s="33"/>
      <c r="O105" s="33"/>
    </row>
    <row r="106" spans="4:15">
      <c r="D106" s="33"/>
      <c r="E106" s="33"/>
      <c r="F106" s="33"/>
      <c r="G106" s="33"/>
      <c r="H106" s="33"/>
      <c r="I106" s="33"/>
      <c r="J106" s="33"/>
      <c r="K106" s="33"/>
      <c r="L106" s="33"/>
      <c r="M106" s="33"/>
      <c r="N106" s="33"/>
      <c r="O106" s="33"/>
    </row>
    <row r="107" spans="4:15">
      <c r="D107" s="33"/>
      <c r="E107" s="33"/>
      <c r="F107" s="33"/>
      <c r="G107" s="33"/>
      <c r="H107" s="33"/>
      <c r="I107" s="33"/>
      <c r="J107" s="33"/>
      <c r="K107" s="33"/>
      <c r="L107" s="33"/>
      <c r="M107" s="33"/>
      <c r="N107" s="33"/>
      <c r="O107" s="33"/>
    </row>
    <row r="108" spans="4:15">
      <c r="D108" s="33"/>
      <c r="E108" s="33"/>
      <c r="F108" s="33"/>
      <c r="G108" s="33"/>
      <c r="H108" s="33"/>
      <c r="I108" s="33"/>
      <c r="J108" s="33"/>
      <c r="K108" s="33"/>
      <c r="L108" s="33"/>
      <c r="M108" s="33"/>
      <c r="N108" s="33"/>
      <c r="O108" s="33"/>
    </row>
    <row r="109" spans="4:15">
      <c r="D109" s="33"/>
      <c r="E109" s="33"/>
      <c r="F109" s="33"/>
      <c r="G109" s="33"/>
      <c r="H109" s="33"/>
      <c r="I109" s="33"/>
      <c r="J109" s="33"/>
      <c r="K109" s="33"/>
      <c r="L109" s="33"/>
      <c r="M109" s="33"/>
      <c r="N109" s="33"/>
      <c r="O109" s="33"/>
    </row>
    <row r="110" spans="4:15">
      <c r="D110" s="33"/>
      <c r="E110" s="33"/>
      <c r="F110" s="33"/>
      <c r="G110" s="33"/>
      <c r="H110" s="33"/>
      <c r="I110" s="33"/>
      <c r="J110" s="33"/>
      <c r="K110" s="33"/>
      <c r="L110" s="33"/>
      <c r="M110" s="33"/>
      <c r="N110" s="33"/>
      <c r="O110" s="33"/>
    </row>
    <row r="111" spans="4:15">
      <c r="D111" s="33"/>
      <c r="E111" s="33"/>
      <c r="F111" s="33"/>
      <c r="G111" s="33"/>
      <c r="H111" s="33"/>
      <c r="I111" s="33"/>
      <c r="J111" s="33"/>
      <c r="K111" s="33"/>
      <c r="L111" s="33"/>
      <c r="M111" s="33"/>
      <c r="N111" s="33"/>
      <c r="O111" s="33"/>
    </row>
    <row r="112" spans="4:15">
      <c r="D112" s="33"/>
      <c r="E112" s="33"/>
      <c r="F112" s="33"/>
      <c r="G112" s="33"/>
      <c r="H112" s="33"/>
      <c r="I112" s="33"/>
      <c r="J112" s="33"/>
      <c r="K112" s="33"/>
      <c r="L112" s="33"/>
      <c r="M112" s="33"/>
      <c r="N112" s="33"/>
      <c r="O112" s="33"/>
    </row>
    <row r="113" spans="4:15">
      <c r="D113" s="33"/>
      <c r="E113" s="33"/>
      <c r="F113" s="33"/>
      <c r="G113" s="33"/>
      <c r="H113" s="33"/>
      <c r="I113" s="33"/>
      <c r="J113" s="33"/>
      <c r="K113" s="33"/>
      <c r="L113" s="33"/>
      <c r="M113" s="33"/>
      <c r="N113" s="33"/>
      <c r="O113" s="33"/>
    </row>
    <row r="114" spans="4:15">
      <c r="D114" s="33"/>
      <c r="E114" s="33"/>
      <c r="F114" s="33"/>
      <c r="G114" s="33"/>
      <c r="H114" s="33"/>
      <c r="I114" s="33"/>
      <c r="J114" s="33"/>
      <c r="K114" s="33"/>
      <c r="L114" s="33"/>
      <c r="M114" s="33"/>
      <c r="N114" s="33"/>
      <c r="O114" s="33"/>
    </row>
    <row r="115" spans="4:15">
      <c r="D115" s="33"/>
      <c r="E115" s="33"/>
      <c r="F115" s="33"/>
      <c r="G115" s="33"/>
      <c r="H115" s="33"/>
      <c r="I115" s="33"/>
      <c r="J115" s="33"/>
      <c r="K115" s="33"/>
      <c r="L115" s="33"/>
      <c r="M115" s="33"/>
      <c r="N115" s="33"/>
      <c r="O115" s="33"/>
    </row>
    <row r="116" spans="4:15">
      <c r="D116" s="33"/>
      <c r="E116" s="33"/>
      <c r="F116" s="33"/>
      <c r="G116" s="33"/>
      <c r="H116" s="33"/>
      <c r="I116" s="33"/>
      <c r="J116" s="33"/>
      <c r="K116" s="33"/>
      <c r="L116" s="33"/>
      <c r="M116" s="33"/>
      <c r="N116" s="33"/>
      <c r="O116" s="33"/>
    </row>
    <row r="117" spans="4:15">
      <c r="D117" s="33"/>
      <c r="E117" s="33"/>
      <c r="F117" s="33"/>
      <c r="G117" s="33"/>
      <c r="H117" s="33"/>
      <c r="I117" s="33"/>
      <c r="J117" s="33"/>
      <c r="K117" s="33"/>
      <c r="L117" s="33"/>
      <c r="M117" s="33"/>
      <c r="N117" s="33"/>
      <c r="O117" s="33"/>
    </row>
    <row r="118" spans="4:15">
      <c r="D118" s="33"/>
      <c r="E118" s="33"/>
      <c r="F118" s="33"/>
      <c r="G118" s="33"/>
      <c r="H118" s="33"/>
      <c r="I118" s="33"/>
      <c r="J118" s="33"/>
      <c r="K118" s="33"/>
      <c r="L118" s="33"/>
      <c r="M118" s="33"/>
      <c r="N118" s="33"/>
      <c r="O118" s="33"/>
    </row>
    <row r="119" spans="4:15">
      <c r="D119" s="33"/>
      <c r="E119" s="33"/>
      <c r="F119" s="33"/>
      <c r="G119" s="33"/>
      <c r="H119" s="33"/>
      <c r="I119" s="33"/>
      <c r="J119" s="33"/>
      <c r="K119" s="33"/>
      <c r="L119" s="33"/>
      <c r="M119" s="33"/>
      <c r="N119" s="33"/>
      <c r="O119" s="33"/>
    </row>
    <row r="120" spans="4:15">
      <c r="D120" s="33"/>
      <c r="E120" s="33"/>
      <c r="F120" s="33"/>
      <c r="G120" s="33"/>
      <c r="H120" s="33"/>
      <c r="I120" s="33"/>
      <c r="J120" s="33"/>
      <c r="K120" s="33"/>
      <c r="L120" s="33"/>
      <c r="M120" s="33"/>
      <c r="N120" s="33"/>
      <c r="O120" s="33"/>
    </row>
    <row r="121" spans="4:15">
      <c r="D121" s="33"/>
      <c r="E121" s="33"/>
      <c r="F121" s="33"/>
      <c r="G121" s="33"/>
      <c r="H121" s="33"/>
      <c r="I121" s="33"/>
      <c r="J121" s="33"/>
      <c r="K121" s="33"/>
      <c r="L121" s="33"/>
      <c r="M121" s="33"/>
      <c r="N121" s="33"/>
      <c r="O121" s="33"/>
    </row>
    <row r="122" spans="4:15">
      <c r="D122" s="33"/>
      <c r="E122" s="33"/>
      <c r="F122" s="33"/>
      <c r="G122" s="33"/>
      <c r="H122" s="33"/>
      <c r="I122" s="33"/>
      <c r="J122" s="33"/>
      <c r="K122" s="33"/>
      <c r="L122" s="33"/>
      <c r="M122" s="33"/>
      <c r="N122" s="33"/>
      <c r="O122" s="33"/>
    </row>
    <row r="123" spans="4:15">
      <c r="D123" s="33"/>
      <c r="E123" s="33"/>
      <c r="F123" s="33"/>
      <c r="G123" s="33"/>
      <c r="H123" s="33"/>
      <c r="I123" s="33"/>
      <c r="J123" s="33"/>
      <c r="K123" s="33"/>
      <c r="L123" s="33"/>
      <c r="M123" s="33"/>
      <c r="N123" s="33"/>
      <c r="O123" s="33"/>
    </row>
    <row r="124" spans="4:15">
      <c r="D124" s="33"/>
      <c r="E124" s="33"/>
      <c r="F124" s="33"/>
      <c r="G124" s="33"/>
      <c r="H124" s="33"/>
      <c r="I124" s="33"/>
      <c r="J124" s="33"/>
      <c r="K124" s="33"/>
      <c r="L124" s="33"/>
      <c r="M124" s="33"/>
      <c r="N124" s="33"/>
      <c r="O124" s="33"/>
    </row>
    <row r="125" spans="4:15">
      <c r="D125" s="33"/>
      <c r="E125" s="33"/>
      <c r="F125" s="33"/>
      <c r="G125" s="33"/>
      <c r="H125" s="33"/>
      <c r="I125" s="33"/>
      <c r="J125" s="33"/>
      <c r="K125" s="33"/>
      <c r="L125" s="33"/>
      <c r="M125" s="33"/>
      <c r="N125" s="33"/>
      <c r="O125" s="33"/>
    </row>
    <row r="126" spans="4:15">
      <c r="D126" s="33"/>
      <c r="E126" s="33"/>
      <c r="F126" s="33"/>
      <c r="G126" s="33"/>
      <c r="H126" s="33"/>
      <c r="I126" s="33"/>
      <c r="J126" s="33"/>
      <c r="K126" s="33"/>
      <c r="L126" s="33"/>
      <c r="M126" s="33"/>
      <c r="N126" s="33"/>
      <c r="O126" s="33"/>
    </row>
    <row r="127" spans="4:15">
      <c r="D127" s="33"/>
      <c r="E127" s="33"/>
      <c r="F127" s="33"/>
      <c r="G127" s="33"/>
      <c r="H127" s="33"/>
      <c r="I127" s="33"/>
      <c r="J127" s="33"/>
      <c r="K127" s="33"/>
      <c r="L127" s="33"/>
      <c r="M127" s="33"/>
      <c r="N127" s="33"/>
      <c r="O127" s="33"/>
    </row>
    <row r="128" spans="4:15">
      <c r="D128" s="33"/>
      <c r="E128" s="33"/>
      <c r="F128" s="33"/>
      <c r="G128" s="33"/>
      <c r="H128" s="33"/>
      <c r="I128" s="33"/>
      <c r="J128" s="33"/>
      <c r="K128" s="33"/>
      <c r="L128" s="33"/>
      <c r="M128" s="33"/>
      <c r="N128" s="33"/>
      <c r="O128" s="33"/>
    </row>
    <row r="129" spans="4:15">
      <c r="D129" s="33"/>
      <c r="E129" s="33"/>
      <c r="F129" s="33"/>
      <c r="G129" s="33"/>
      <c r="H129" s="33"/>
      <c r="I129" s="33"/>
      <c r="J129" s="33"/>
      <c r="K129" s="33"/>
      <c r="L129" s="33"/>
      <c r="M129" s="33"/>
      <c r="N129" s="33"/>
      <c r="O129" s="33"/>
    </row>
    <row r="130" spans="4:15">
      <c r="D130" s="33"/>
      <c r="E130" s="33"/>
      <c r="F130" s="33"/>
      <c r="G130" s="33"/>
      <c r="H130" s="33"/>
      <c r="I130" s="33"/>
      <c r="J130" s="33"/>
      <c r="K130" s="33"/>
      <c r="L130" s="33"/>
      <c r="M130" s="33"/>
      <c r="N130" s="33"/>
      <c r="O130" s="33"/>
    </row>
    <row r="131" spans="4:15">
      <c r="D131" s="33"/>
      <c r="E131" s="33"/>
      <c r="F131" s="33"/>
      <c r="G131" s="33"/>
      <c r="H131" s="33"/>
      <c r="I131" s="33"/>
      <c r="J131" s="33"/>
      <c r="K131" s="33"/>
      <c r="L131" s="33"/>
      <c r="M131" s="33"/>
      <c r="N131" s="33"/>
      <c r="O131" s="33"/>
    </row>
    <row r="132" spans="4:15">
      <c r="D132" s="33"/>
      <c r="E132" s="33"/>
      <c r="F132" s="33"/>
      <c r="G132" s="33"/>
      <c r="H132" s="33"/>
      <c r="I132" s="33"/>
      <c r="J132" s="33"/>
      <c r="K132" s="33"/>
      <c r="L132" s="33"/>
      <c r="M132" s="33"/>
      <c r="N132" s="33"/>
      <c r="O132" s="33"/>
    </row>
    <row r="133" spans="4:15">
      <c r="D133" s="33"/>
      <c r="E133" s="33"/>
      <c r="F133" s="33"/>
      <c r="G133" s="33"/>
      <c r="H133" s="33"/>
      <c r="I133" s="33"/>
      <c r="J133" s="33"/>
      <c r="K133" s="33"/>
      <c r="L133" s="33"/>
      <c r="M133" s="33"/>
      <c r="N133" s="33"/>
      <c r="O133" s="33"/>
    </row>
    <row r="134" spans="4:15">
      <c r="D134" s="33"/>
      <c r="E134" s="33"/>
      <c r="F134" s="33"/>
      <c r="G134" s="33"/>
      <c r="H134" s="33"/>
      <c r="I134" s="33"/>
      <c r="J134" s="33"/>
      <c r="K134" s="33"/>
      <c r="L134" s="33"/>
      <c r="M134" s="33"/>
      <c r="N134" s="33"/>
      <c r="O134" s="33"/>
    </row>
    <row r="135" spans="4:15">
      <c r="D135" s="33"/>
      <c r="E135" s="33"/>
      <c r="F135" s="33"/>
      <c r="G135" s="33"/>
      <c r="H135" s="33"/>
      <c r="I135" s="33"/>
      <c r="J135" s="33"/>
      <c r="K135" s="33"/>
      <c r="L135" s="33"/>
      <c r="M135" s="33"/>
      <c r="N135" s="33"/>
      <c r="O135" s="33"/>
    </row>
    <row r="136" spans="4:15">
      <c r="D136" s="33"/>
      <c r="E136" s="33"/>
      <c r="F136" s="33"/>
      <c r="G136" s="33"/>
      <c r="H136" s="33"/>
      <c r="I136" s="33"/>
      <c r="J136" s="33"/>
      <c r="K136" s="33"/>
      <c r="L136" s="33"/>
      <c r="M136" s="33"/>
      <c r="N136" s="33"/>
      <c r="O136" s="33"/>
    </row>
    <row r="137" spans="4:15">
      <c r="D137" s="33"/>
      <c r="E137" s="33"/>
      <c r="F137" s="33"/>
      <c r="G137" s="33"/>
      <c r="H137" s="33"/>
      <c r="I137" s="33"/>
      <c r="J137" s="33"/>
      <c r="K137" s="33"/>
      <c r="L137" s="33"/>
      <c r="M137" s="33"/>
      <c r="N137" s="33"/>
      <c r="O137" s="33"/>
    </row>
    <row r="138" spans="4:15">
      <c r="D138" s="33"/>
      <c r="E138" s="33"/>
      <c r="F138" s="33"/>
      <c r="G138" s="33"/>
      <c r="H138" s="33"/>
      <c r="I138" s="33"/>
      <c r="J138" s="33"/>
      <c r="K138" s="33"/>
      <c r="L138" s="33"/>
      <c r="M138" s="33"/>
      <c r="N138" s="33"/>
      <c r="O138" s="33"/>
    </row>
    <row r="139" spans="4:15">
      <c r="D139" s="33"/>
      <c r="E139" s="33"/>
      <c r="F139" s="33"/>
      <c r="G139" s="33"/>
      <c r="H139" s="33"/>
      <c r="I139" s="33"/>
      <c r="J139" s="33"/>
      <c r="K139" s="33"/>
      <c r="L139" s="33"/>
      <c r="M139" s="33"/>
      <c r="N139" s="33"/>
      <c r="O139" s="33"/>
    </row>
    <row r="140" spans="4:15">
      <c r="D140" s="33"/>
      <c r="E140" s="33"/>
      <c r="F140" s="33"/>
      <c r="G140" s="33"/>
      <c r="H140" s="33"/>
      <c r="I140" s="33"/>
      <c r="J140" s="33"/>
      <c r="K140" s="33"/>
      <c r="L140" s="33"/>
      <c r="M140" s="33"/>
      <c r="N140" s="33"/>
      <c r="O140" s="33"/>
    </row>
    <row r="141" spans="4:15">
      <c r="D141" s="33"/>
      <c r="E141" s="33"/>
      <c r="F141" s="33"/>
      <c r="G141" s="33"/>
      <c r="H141" s="33"/>
      <c r="I141" s="33"/>
      <c r="J141" s="33"/>
      <c r="K141" s="33"/>
      <c r="L141" s="33"/>
      <c r="M141" s="33"/>
      <c r="N141" s="33"/>
      <c r="O141" s="33"/>
    </row>
    <row r="142" spans="4:15">
      <c r="D142" s="33"/>
      <c r="E142" s="33"/>
      <c r="F142" s="33"/>
      <c r="G142" s="33"/>
      <c r="H142" s="33"/>
      <c r="I142" s="33"/>
      <c r="J142" s="33"/>
      <c r="K142" s="33"/>
      <c r="L142" s="33"/>
      <c r="M142" s="33"/>
      <c r="N142" s="33"/>
      <c r="O142" s="33"/>
    </row>
    <row r="143" spans="4:15">
      <c r="D143" s="33"/>
      <c r="E143" s="33"/>
      <c r="F143" s="33"/>
      <c r="G143" s="33"/>
      <c r="H143" s="33"/>
      <c r="I143" s="33"/>
      <c r="J143" s="33"/>
      <c r="K143" s="33"/>
      <c r="L143" s="33"/>
      <c r="M143" s="33"/>
      <c r="N143" s="33"/>
      <c r="O143" s="33"/>
    </row>
    <row r="144" spans="4:15">
      <c r="D144" s="33"/>
      <c r="E144" s="33"/>
      <c r="F144" s="33"/>
      <c r="G144" s="33"/>
      <c r="H144" s="33"/>
      <c r="I144" s="33"/>
      <c r="J144" s="33"/>
      <c r="K144" s="33"/>
      <c r="L144" s="33"/>
      <c r="M144" s="33"/>
      <c r="N144" s="33"/>
      <c r="O144" s="33"/>
    </row>
    <row r="145" spans="4:15">
      <c r="D145" s="33"/>
      <c r="E145" s="33"/>
      <c r="F145" s="33"/>
      <c r="G145" s="33"/>
      <c r="H145" s="33"/>
      <c r="I145" s="33"/>
      <c r="J145" s="33"/>
      <c r="K145" s="33"/>
      <c r="L145" s="33"/>
      <c r="M145" s="33"/>
      <c r="N145" s="33"/>
      <c r="O145" s="33"/>
    </row>
    <row r="146" spans="4:15">
      <c r="D146" s="33"/>
      <c r="E146" s="33"/>
      <c r="F146" s="33"/>
      <c r="G146" s="33"/>
      <c r="H146" s="33"/>
      <c r="I146" s="33"/>
      <c r="J146" s="33"/>
      <c r="K146" s="33"/>
      <c r="L146" s="33"/>
      <c r="M146" s="33"/>
      <c r="N146" s="33"/>
      <c r="O146" s="33"/>
    </row>
    <row r="147" spans="4:15">
      <c r="D147" s="33"/>
      <c r="E147" s="33"/>
      <c r="F147" s="33"/>
      <c r="G147" s="33"/>
      <c r="H147" s="33"/>
      <c r="I147" s="33"/>
      <c r="J147" s="33"/>
      <c r="K147" s="33"/>
      <c r="L147" s="33"/>
      <c r="M147" s="33"/>
      <c r="N147" s="33"/>
      <c r="O147" s="33"/>
    </row>
    <row r="148" spans="4:15">
      <c r="D148" s="33"/>
      <c r="E148" s="33"/>
      <c r="F148" s="33"/>
      <c r="G148" s="33"/>
      <c r="H148" s="33"/>
      <c r="I148" s="33"/>
      <c r="J148" s="33"/>
      <c r="K148" s="33"/>
      <c r="L148" s="33"/>
      <c r="M148" s="33"/>
      <c r="N148" s="33"/>
      <c r="O148" s="33"/>
    </row>
    <row r="149" spans="4:15">
      <c r="D149" s="33"/>
      <c r="E149" s="33"/>
      <c r="F149" s="33"/>
      <c r="G149" s="33"/>
      <c r="H149" s="33"/>
      <c r="I149" s="33"/>
      <c r="J149" s="33"/>
      <c r="K149" s="33"/>
      <c r="L149" s="33"/>
      <c r="M149" s="33"/>
      <c r="N149" s="33"/>
      <c r="O149" s="33"/>
    </row>
    <row r="150" spans="4:15">
      <c r="D150" s="33"/>
      <c r="E150" s="33"/>
      <c r="F150" s="33"/>
      <c r="G150" s="33"/>
      <c r="H150" s="33"/>
      <c r="I150" s="33"/>
      <c r="J150" s="33"/>
      <c r="K150" s="33"/>
      <c r="L150" s="33"/>
      <c r="M150" s="33"/>
      <c r="N150" s="33"/>
      <c r="O150" s="33"/>
    </row>
    <row r="151" spans="4:15">
      <c r="D151" s="33"/>
      <c r="E151" s="33"/>
      <c r="F151" s="33"/>
      <c r="G151" s="33"/>
      <c r="H151" s="33"/>
      <c r="I151" s="33"/>
      <c r="J151" s="33"/>
      <c r="K151" s="33"/>
      <c r="L151" s="33"/>
      <c r="M151" s="33"/>
      <c r="N151" s="33"/>
      <c r="O151" s="33"/>
    </row>
    <row r="152" spans="4:15">
      <c r="D152" s="33"/>
      <c r="E152" s="33"/>
      <c r="F152" s="33"/>
      <c r="G152" s="33"/>
      <c r="H152" s="33"/>
      <c r="I152" s="33"/>
      <c r="J152" s="33"/>
      <c r="K152" s="33"/>
      <c r="L152" s="33"/>
      <c r="M152" s="33"/>
      <c r="N152" s="33"/>
      <c r="O152" s="33"/>
    </row>
    <row r="153" spans="4:15">
      <c r="D153" s="33"/>
      <c r="E153" s="33"/>
      <c r="F153" s="33"/>
      <c r="G153" s="33"/>
      <c r="H153" s="33"/>
      <c r="I153" s="33"/>
      <c r="J153" s="33"/>
      <c r="K153" s="33"/>
      <c r="L153" s="33"/>
      <c r="M153" s="33"/>
      <c r="N153" s="33"/>
      <c r="O153" s="33"/>
    </row>
    <row r="154" spans="4:15">
      <c r="D154" s="33"/>
      <c r="E154" s="33"/>
      <c r="F154" s="33"/>
      <c r="G154" s="33"/>
      <c r="H154" s="33"/>
      <c r="I154" s="33"/>
      <c r="J154" s="33"/>
      <c r="K154" s="33"/>
      <c r="L154" s="33"/>
      <c r="M154" s="33"/>
      <c r="N154" s="33"/>
      <c r="O154" s="33"/>
    </row>
    <row r="155" spans="4:15">
      <c r="D155" s="33"/>
      <c r="E155" s="33"/>
      <c r="F155" s="33"/>
      <c r="G155" s="33"/>
      <c r="H155" s="33"/>
      <c r="I155" s="33"/>
      <c r="J155" s="33"/>
      <c r="K155" s="33"/>
      <c r="L155" s="33"/>
      <c r="M155" s="33"/>
      <c r="N155" s="33"/>
      <c r="O155" s="33"/>
    </row>
    <row r="156" spans="4:15">
      <c r="D156" s="33"/>
      <c r="E156" s="33"/>
      <c r="F156" s="33"/>
      <c r="G156" s="33"/>
      <c r="H156" s="33"/>
      <c r="I156" s="33"/>
      <c r="J156" s="33"/>
      <c r="K156" s="33"/>
      <c r="L156" s="33"/>
      <c r="M156" s="33"/>
      <c r="N156" s="33"/>
      <c r="O156" s="33"/>
    </row>
    <row r="157" spans="4:15">
      <c r="D157" s="33"/>
      <c r="E157" s="33"/>
      <c r="F157" s="33"/>
      <c r="G157" s="33"/>
      <c r="H157" s="33"/>
      <c r="I157" s="33"/>
      <c r="J157" s="33"/>
      <c r="K157" s="33"/>
      <c r="L157" s="33"/>
      <c r="M157" s="33"/>
      <c r="N157" s="33"/>
      <c r="O157" s="33"/>
    </row>
    <row r="158" spans="4:15">
      <c r="D158" s="33"/>
      <c r="E158" s="33"/>
      <c r="F158" s="33"/>
      <c r="G158" s="33"/>
      <c r="H158" s="33"/>
      <c r="I158" s="33"/>
      <c r="J158" s="33"/>
      <c r="K158" s="33"/>
      <c r="L158" s="33"/>
      <c r="M158" s="33"/>
      <c r="N158" s="33"/>
      <c r="O158" s="33"/>
    </row>
    <row r="159" spans="4:15">
      <c r="D159" s="33"/>
      <c r="E159" s="33"/>
      <c r="F159" s="33"/>
      <c r="G159" s="33"/>
      <c r="H159" s="33"/>
      <c r="I159" s="33"/>
      <c r="J159" s="33"/>
      <c r="K159" s="33"/>
      <c r="L159" s="33"/>
      <c r="M159" s="33"/>
      <c r="N159" s="33"/>
      <c r="O159" s="33"/>
    </row>
    <row r="160" spans="4:15">
      <c r="D160" s="33"/>
      <c r="E160" s="33"/>
      <c r="F160" s="33"/>
      <c r="G160" s="33"/>
      <c r="H160" s="33"/>
      <c r="I160" s="33"/>
      <c r="J160" s="33"/>
      <c r="K160" s="33"/>
      <c r="L160" s="33"/>
      <c r="M160" s="33"/>
      <c r="N160" s="33"/>
      <c r="O160" s="33"/>
    </row>
    <row r="161" spans="4:15">
      <c r="D161" s="33"/>
      <c r="E161" s="33"/>
      <c r="F161" s="33"/>
      <c r="G161" s="33"/>
      <c r="H161" s="33"/>
      <c r="I161" s="33"/>
      <c r="J161" s="33"/>
      <c r="K161" s="33"/>
      <c r="L161" s="33"/>
      <c r="M161" s="33"/>
      <c r="N161" s="33"/>
      <c r="O161" s="33"/>
    </row>
    <row r="162" spans="4:15">
      <c r="D162" s="33"/>
      <c r="E162" s="33"/>
      <c r="F162" s="33"/>
      <c r="G162" s="33"/>
      <c r="H162" s="33"/>
      <c r="I162" s="33"/>
      <c r="J162" s="33"/>
      <c r="K162" s="33"/>
      <c r="L162" s="33"/>
      <c r="M162" s="33"/>
      <c r="N162" s="33"/>
      <c r="O162" s="33"/>
    </row>
    <row r="163" spans="4:15">
      <c r="D163" s="33"/>
      <c r="E163" s="33"/>
      <c r="F163" s="33"/>
      <c r="G163" s="33"/>
      <c r="H163" s="33"/>
      <c r="I163" s="33"/>
      <c r="J163" s="33"/>
      <c r="K163" s="33"/>
      <c r="L163" s="33"/>
      <c r="M163" s="33"/>
      <c r="N163" s="33"/>
      <c r="O163" s="33"/>
    </row>
    <row r="164" spans="4:15">
      <c r="D164" s="33"/>
      <c r="E164" s="33"/>
      <c r="F164" s="33"/>
      <c r="G164" s="33"/>
      <c r="H164" s="33"/>
      <c r="I164" s="33"/>
      <c r="J164" s="33"/>
      <c r="K164" s="33"/>
      <c r="L164" s="33"/>
      <c r="M164" s="33"/>
      <c r="N164" s="33"/>
      <c r="O164" s="33"/>
    </row>
    <row r="165" spans="4:15">
      <c r="D165" s="33"/>
      <c r="E165" s="33"/>
      <c r="F165" s="33"/>
      <c r="G165" s="33"/>
      <c r="H165" s="33"/>
      <c r="I165" s="33"/>
      <c r="J165" s="33"/>
      <c r="K165" s="33"/>
      <c r="L165" s="33"/>
      <c r="M165" s="33"/>
      <c r="N165" s="33"/>
      <c r="O165" s="33"/>
    </row>
    <row r="166" spans="4:15">
      <c r="D166" s="33"/>
      <c r="E166" s="33"/>
      <c r="F166" s="33"/>
      <c r="G166" s="33"/>
      <c r="H166" s="33"/>
      <c r="I166" s="33"/>
      <c r="J166" s="33"/>
      <c r="K166" s="33"/>
      <c r="L166" s="33"/>
      <c r="M166" s="33"/>
      <c r="N166" s="33"/>
      <c r="O166" s="33"/>
    </row>
    <row r="167" spans="4:15">
      <c r="D167" s="33"/>
      <c r="E167" s="33"/>
      <c r="F167" s="33"/>
      <c r="G167" s="33"/>
      <c r="H167" s="33"/>
      <c r="I167" s="33"/>
      <c r="J167" s="33"/>
      <c r="K167" s="33"/>
      <c r="L167" s="33"/>
      <c r="M167" s="33"/>
      <c r="N167" s="33"/>
      <c r="O167" s="33"/>
    </row>
    <row r="168" spans="4:15">
      <c r="D168" s="33"/>
      <c r="E168" s="33"/>
      <c r="F168" s="33"/>
      <c r="G168" s="33"/>
      <c r="H168" s="33"/>
      <c r="I168" s="33"/>
      <c r="J168" s="33"/>
      <c r="K168" s="33"/>
      <c r="L168" s="33"/>
      <c r="M168" s="33"/>
      <c r="N168" s="33"/>
      <c r="O168" s="33"/>
    </row>
    <row r="169" spans="4:15">
      <c r="D169" s="33"/>
      <c r="E169" s="33"/>
      <c r="F169" s="33"/>
      <c r="G169" s="33"/>
      <c r="H169" s="33"/>
      <c r="I169" s="33"/>
      <c r="J169" s="33"/>
      <c r="K169" s="33"/>
      <c r="L169" s="33"/>
      <c r="M169" s="33"/>
      <c r="N169" s="33"/>
      <c r="O169" s="33"/>
    </row>
    <row r="170" spans="4:15">
      <c r="D170" s="33"/>
      <c r="E170" s="33"/>
      <c r="F170" s="33"/>
      <c r="G170" s="33"/>
      <c r="H170" s="33"/>
      <c r="I170" s="33"/>
      <c r="J170" s="33"/>
      <c r="K170" s="33"/>
      <c r="L170" s="33"/>
      <c r="M170" s="33"/>
      <c r="N170" s="33"/>
      <c r="O170" s="33"/>
    </row>
    <row r="171" spans="4:15">
      <c r="D171" s="33"/>
      <c r="E171" s="33"/>
      <c r="F171" s="33"/>
      <c r="G171" s="33"/>
      <c r="H171" s="33"/>
      <c r="I171" s="33"/>
      <c r="J171" s="33"/>
      <c r="K171" s="33"/>
      <c r="L171" s="33"/>
      <c r="M171" s="33"/>
      <c r="N171" s="33"/>
      <c r="O171" s="33"/>
    </row>
    <row r="172" spans="4:15">
      <c r="D172" s="33"/>
      <c r="E172" s="33"/>
      <c r="F172" s="33"/>
      <c r="G172" s="33"/>
      <c r="H172" s="33"/>
      <c r="I172" s="33"/>
      <c r="J172" s="33"/>
      <c r="K172" s="33"/>
      <c r="L172" s="33"/>
      <c r="M172" s="33"/>
      <c r="N172" s="33"/>
      <c r="O172" s="33"/>
    </row>
    <row r="173" spans="4:15">
      <c r="D173" s="33"/>
      <c r="E173" s="33"/>
      <c r="F173" s="33"/>
      <c r="G173" s="33"/>
      <c r="H173" s="33"/>
      <c r="I173" s="33"/>
      <c r="J173" s="33"/>
      <c r="K173" s="33"/>
      <c r="L173" s="33"/>
      <c r="M173" s="33"/>
      <c r="N173" s="33"/>
      <c r="O173" s="33"/>
    </row>
    <row r="174" spans="4:15">
      <c r="D174" s="33"/>
      <c r="E174" s="33"/>
      <c r="F174" s="33"/>
      <c r="G174" s="33"/>
      <c r="H174" s="33"/>
      <c r="I174" s="33"/>
      <c r="J174" s="33"/>
      <c r="K174" s="33"/>
      <c r="L174" s="33"/>
      <c r="M174" s="33"/>
      <c r="N174" s="33"/>
      <c r="O174" s="33"/>
    </row>
    <row r="175" spans="4:15">
      <c r="D175" s="33"/>
      <c r="E175" s="33"/>
      <c r="F175" s="33"/>
      <c r="G175" s="33"/>
      <c r="H175" s="33"/>
      <c r="I175" s="33"/>
      <c r="J175" s="33"/>
      <c r="K175" s="33"/>
      <c r="L175" s="33"/>
      <c r="M175" s="33"/>
      <c r="N175" s="33"/>
      <c r="O175" s="33"/>
    </row>
    <row r="176" spans="4:15">
      <c r="D176" s="33"/>
      <c r="E176" s="33"/>
      <c r="F176" s="33"/>
      <c r="G176" s="33"/>
      <c r="H176" s="33"/>
      <c r="I176" s="33"/>
      <c r="J176" s="33"/>
      <c r="K176" s="33"/>
      <c r="L176" s="33"/>
      <c r="M176" s="33"/>
      <c r="N176" s="33"/>
      <c r="O176" s="33"/>
    </row>
    <row r="177" spans="4:15">
      <c r="D177" s="33"/>
      <c r="E177" s="33"/>
      <c r="F177" s="33"/>
      <c r="G177" s="33"/>
      <c r="H177" s="33"/>
      <c r="I177" s="33"/>
      <c r="J177" s="33"/>
      <c r="K177" s="33"/>
      <c r="L177" s="33"/>
      <c r="M177" s="33"/>
      <c r="N177" s="33"/>
      <c r="O177" s="33"/>
    </row>
    <row r="178" spans="4:15">
      <c r="D178" s="33"/>
      <c r="E178" s="33"/>
      <c r="F178" s="33"/>
      <c r="G178" s="33"/>
      <c r="H178" s="33"/>
      <c r="I178" s="33"/>
      <c r="J178" s="33"/>
      <c r="K178" s="33"/>
      <c r="L178" s="33"/>
      <c r="M178" s="33"/>
      <c r="N178" s="33"/>
      <c r="O178" s="33"/>
    </row>
    <row r="179" spans="4:15">
      <c r="D179" s="33"/>
      <c r="E179" s="33"/>
      <c r="F179" s="33"/>
      <c r="G179" s="33"/>
      <c r="H179" s="33"/>
      <c r="I179" s="33"/>
      <c r="J179" s="33"/>
      <c r="K179" s="33"/>
      <c r="L179" s="33"/>
      <c r="M179" s="33"/>
      <c r="N179" s="33"/>
      <c r="O179" s="33"/>
    </row>
    <row r="180" spans="4:15">
      <c r="D180" s="33"/>
      <c r="E180" s="33"/>
      <c r="F180" s="33"/>
      <c r="G180" s="33"/>
      <c r="H180" s="33"/>
      <c r="I180" s="33"/>
      <c r="J180" s="33"/>
      <c r="K180" s="33"/>
      <c r="L180" s="33"/>
      <c r="M180" s="33"/>
      <c r="N180" s="33"/>
      <c r="O180" s="33"/>
    </row>
    <row r="181" spans="4:15">
      <c r="D181" s="33"/>
      <c r="E181" s="33"/>
      <c r="F181" s="33"/>
      <c r="G181" s="33"/>
      <c r="H181" s="33"/>
      <c r="I181" s="33"/>
      <c r="J181" s="33"/>
      <c r="K181" s="33"/>
      <c r="L181" s="33"/>
      <c r="M181" s="33"/>
      <c r="N181" s="33"/>
      <c r="O181" s="33"/>
    </row>
    <row r="182" spans="4:15">
      <c r="D182" s="33"/>
      <c r="E182" s="33"/>
      <c r="F182" s="33"/>
      <c r="G182" s="33"/>
      <c r="H182" s="33"/>
      <c r="I182" s="33"/>
      <c r="J182" s="33"/>
      <c r="K182" s="33"/>
      <c r="L182" s="33"/>
      <c r="M182" s="33"/>
      <c r="N182" s="33"/>
      <c r="O182" s="33"/>
    </row>
    <row r="183" spans="4:15">
      <c r="D183" s="33"/>
      <c r="E183" s="33"/>
      <c r="F183" s="33"/>
      <c r="G183" s="33"/>
      <c r="H183" s="33"/>
      <c r="I183" s="33"/>
      <c r="J183" s="33"/>
      <c r="K183" s="33"/>
      <c r="L183" s="33"/>
      <c r="M183" s="33"/>
      <c r="N183" s="33"/>
      <c r="O183" s="33"/>
    </row>
    <row r="184" spans="4:15">
      <c r="D184" s="33"/>
      <c r="E184" s="33"/>
      <c r="F184" s="33"/>
      <c r="G184" s="33"/>
      <c r="H184" s="33"/>
      <c r="I184" s="33"/>
      <c r="J184" s="33"/>
      <c r="K184" s="33"/>
      <c r="L184" s="33"/>
      <c r="M184" s="33"/>
      <c r="N184" s="33"/>
      <c r="O184" s="33"/>
    </row>
    <row r="185" spans="4:15">
      <c r="D185" s="33"/>
      <c r="E185" s="33"/>
      <c r="F185" s="33"/>
      <c r="G185" s="33"/>
      <c r="H185" s="33"/>
      <c r="I185" s="33"/>
      <c r="J185" s="33"/>
      <c r="K185" s="33"/>
      <c r="L185" s="33"/>
      <c r="M185" s="33"/>
      <c r="N185" s="33"/>
      <c r="O185" s="33"/>
    </row>
    <row r="186" spans="4:15">
      <c r="D186" s="33"/>
      <c r="E186" s="33"/>
      <c r="F186" s="33"/>
      <c r="G186" s="33"/>
      <c r="H186" s="33"/>
      <c r="I186" s="33"/>
      <c r="J186" s="33"/>
      <c r="K186" s="33"/>
      <c r="L186" s="33"/>
      <c r="M186" s="33"/>
      <c r="N186" s="33"/>
      <c r="O186" s="33"/>
    </row>
    <row r="187" spans="4:15">
      <c r="D187" s="33"/>
      <c r="E187" s="33"/>
      <c r="F187" s="33"/>
      <c r="G187" s="33"/>
      <c r="H187" s="33"/>
      <c r="I187" s="33"/>
      <c r="J187" s="33"/>
      <c r="K187" s="33"/>
      <c r="L187" s="33"/>
      <c r="M187" s="33"/>
      <c r="N187" s="33"/>
      <c r="O187" s="33"/>
    </row>
    <row r="188" spans="4:15">
      <c r="D188" s="33"/>
      <c r="E188" s="33"/>
      <c r="F188" s="33"/>
      <c r="G188" s="33"/>
      <c r="H188" s="33"/>
      <c r="I188" s="33"/>
      <c r="J188" s="33"/>
      <c r="K188" s="33"/>
      <c r="L188" s="33"/>
      <c r="M188" s="33"/>
      <c r="N188" s="33"/>
      <c r="O188" s="33"/>
    </row>
    <row r="189" spans="4:15">
      <c r="D189" s="33"/>
      <c r="E189" s="33"/>
      <c r="F189" s="33"/>
      <c r="G189" s="33"/>
      <c r="H189" s="33"/>
      <c r="I189" s="33"/>
      <c r="J189" s="33"/>
      <c r="K189" s="33"/>
      <c r="L189" s="33"/>
      <c r="M189" s="33"/>
      <c r="N189" s="33"/>
      <c r="O189" s="33"/>
    </row>
    <row r="190" spans="4:15">
      <c r="D190" s="33"/>
      <c r="E190" s="33"/>
      <c r="F190" s="33"/>
      <c r="G190" s="33"/>
      <c r="H190" s="33"/>
      <c r="I190" s="33"/>
      <c r="J190" s="33"/>
      <c r="K190" s="33"/>
      <c r="L190" s="33"/>
      <c r="M190" s="33"/>
      <c r="N190" s="33"/>
      <c r="O190" s="33"/>
    </row>
    <row r="191" spans="4:15">
      <c r="D191" s="33"/>
      <c r="E191" s="33"/>
      <c r="F191" s="33"/>
      <c r="G191" s="33"/>
      <c r="H191" s="33"/>
      <c r="I191" s="33"/>
      <c r="J191" s="33"/>
      <c r="K191" s="33"/>
      <c r="L191" s="33"/>
      <c r="M191" s="33"/>
      <c r="N191" s="33"/>
      <c r="O191" s="33"/>
    </row>
    <row r="192" spans="4:15">
      <c r="D192" s="33"/>
      <c r="E192" s="33"/>
      <c r="F192" s="33"/>
      <c r="G192" s="33"/>
      <c r="H192" s="33"/>
      <c r="I192" s="33"/>
      <c r="J192" s="33"/>
      <c r="K192" s="33"/>
      <c r="L192" s="33"/>
      <c r="M192" s="33"/>
      <c r="N192" s="33"/>
      <c r="O192" s="33"/>
    </row>
    <row r="193" spans="4:15">
      <c r="D193" s="33"/>
      <c r="E193" s="33"/>
      <c r="F193" s="33"/>
      <c r="G193" s="33"/>
      <c r="H193" s="33"/>
      <c r="I193" s="33"/>
      <c r="J193" s="33"/>
      <c r="K193" s="33"/>
      <c r="L193" s="33"/>
      <c r="M193" s="33"/>
      <c r="N193" s="33"/>
      <c r="O193" s="33"/>
    </row>
    <row r="194" spans="4:15">
      <c r="D194" s="33"/>
      <c r="E194" s="33"/>
      <c r="F194" s="33"/>
      <c r="G194" s="33"/>
      <c r="H194" s="33"/>
      <c r="I194" s="33"/>
      <c r="J194" s="33"/>
      <c r="K194" s="33"/>
      <c r="L194" s="33"/>
      <c r="M194" s="33"/>
      <c r="N194" s="33"/>
      <c r="O194" s="33"/>
    </row>
    <row r="195" spans="4:15">
      <c r="D195" s="33"/>
      <c r="E195" s="33"/>
      <c r="F195" s="33"/>
      <c r="G195" s="33"/>
      <c r="H195" s="33"/>
      <c r="I195" s="33"/>
      <c r="J195" s="33"/>
      <c r="K195" s="33"/>
      <c r="L195" s="33"/>
      <c r="M195" s="33"/>
      <c r="N195" s="33"/>
      <c r="O195" s="33"/>
    </row>
    <row r="196" spans="4:15">
      <c r="D196" s="33"/>
      <c r="E196" s="33"/>
      <c r="F196" s="33"/>
      <c r="G196" s="33"/>
      <c r="H196" s="33"/>
      <c r="I196" s="33"/>
      <c r="J196" s="33"/>
      <c r="K196" s="33"/>
      <c r="L196" s="33"/>
      <c r="M196" s="33"/>
      <c r="N196" s="33"/>
      <c r="O196" s="33"/>
    </row>
    <row r="197" spans="4:15">
      <c r="D197" s="33"/>
      <c r="E197" s="33"/>
      <c r="F197" s="33"/>
      <c r="G197" s="33"/>
      <c r="H197" s="33"/>
      <c r="I197" s="33"/>
      <c r="J197" s="33"/>
      <c r="K197" s="33"/>
      <c r="L197" s="33"/>
      <c r="M197" s="33"/>
      <c r="N197" s="33"/>
      <c r="O197" s="33"/>
    </row>
    <row r="198" spans="4:15">
      <c r="D198" s="33"/>
      <c r="E198" s="33"/>
      <c r="F198" s="33"/>
      <c r="G198" s="33"/>
      <c r="H198" s="33"/>
      <c r="I198" s="33"/>
      <c r="J198" s="33"/>
      <c r="K198" s="33"/>
      <c r="L198" s="33"/>
      <c r="M198" s="33"/>
      <c r="N198" s="33"/>
      <c r="O198" s="33"/>
    </row>
    <row r="199" spans="4:15">
      <c r="D199" s="33"/>
      <c r="E199" s="33"/>
      <c r="F199" s="33"/>
      <c r="G199" s="33"/>
      <c r="H199" s="33"/>
      <c r="I199" s="33"/>
      <c r="J199" s="33"/>
      <c r="K199" s="33"/>
      <c r="L199" s="33"/>
      <c r="M199" s="33"/>
      <c r="N199" s="33"/>
      <c r="O199" s="33"/>
    </row>
    <row r="200" spans="4:15">
      <c r="D200" s="33"/>
      <c r="E200" s="33"/>
      <c r="F200" s="33"/>
      <c r="G200" s="33"/>
      <c r="H200" s="33"/>
      <c r="I200" s="33"/>
      <c r="J200" s="33"/>
      <c r="K200" s="33"/>
      <c r="L200" s="33"/>
      <c r="M200" s="33"/>
      <c r="N200" s="33"/>
      <c r="O200" s="33"/>
    </row>
    <row r="201" spans="4:15">
      <c r="D201" s="33"/>
      <c r="E201" s="33"/>
      <c r="F201" s="33"/>
      <c r="G201" s="33"/>
      <c r="H201" s="33"/>
      <c r="I201" s="33"/>
      <c r="J201" s="33"/>
      <c r="K201" s="33"/>
      <c r="L201" s="33"/>
      <c r="M201" s="33"/>
      <c r="N201" s="33"/>
      <c r="O201" s="33"/>
    </row>
    <row r="202" spans="4:15">
      <c r="D202" s="33"/>
      <c r="E202" s="33"/>
      <c r="F202" s="33"/>
      <c r="G202" s="33"/>
      <c r="H202" s="33"/>
      <c r="I202" s="33"/>
      <c r="J202" s="33"/>
      <c r="K202" s="33"/>
      <c r="L202" s="33"/>
      <c r="M202" s="33"/>
      <c r="N202" s="33"/>
      <c r="O202" s="33"/>
    </row>
    <row r="203" spans="4:15">
      <c r="D203" s="33"/>
      <c r="E203" s="33"/>
      <c r="F203" s="33"/>
      <c r="G203" s="33"/>
      <c r="H203" s="33"/>
      <c r="I203" s="33"/>
      <c r="J203" s="33"/>
      <c r="K203" s="33"/>
      <c r="L203" s="33"/>
      <c r="M203" s="33"/>
      <c r="N203" s="33"/>
      <c r="O203" s="33"/>
    </row>
    <row r="204" spans="4:15">
      <c r="D204" s="33"/>
      <c r="E204" s="33"/>
      <c r="F204" s="33"/>
      <c r="G204" s="33"/>
      <c r="H204" s="33"/>
      <c r="I204" s="33"/>
      <c r="J204" s="33"/>
      <c r="K204" s="33"/>
      <c r="L204" s="33"/>
      <c r="M204" s="33"/>
      <c r="N204" s="33"/>
      <c r="O204" s="33"/>
    </row>
    <row r="205" spans="4:15">
      <c r="D205" s="33"/>
      <c r="E205" s="33"/>
      <c r="F205" s="33"/>
      <c r="G205" s="33"/>
      <c r="H205" s="33"/>
      <c r="I205" s="33"/>
      <c r="J205" s="33"/>
      <c r="K205" s="33"/>
      <c r="L205" s="33"/>
      <c r="M205" s="33"/>
      <c r="N205" s="33"/>
      <c r="O205" s="33"/>
    </row>
    <row r="206" spans="4:15">
      <c r="D206" s="33"/>
      <c r="E206" s="33"/>
      <c r="F206" s="33"/>
      <c r="G206" s="33"/>
      <c r="H206" s="33"/>
      <c r="I206" s="33"/>
      <c r="J206" s="33"/>
      <c r="K206" s="33"/>
      <c r="L206" s="33"/>
      <c r="M206" s="33"/>
      <c r="N206" s="33"/>
      <c r="O206" s="33"/>
    </row>
    <row r="207" spans="4:15">
      <c r="D207" s="33"/>
      <c r="E207" s="33"/>
      <c r="F207" s="33"/>
      <c r="G207" s="33"/>
      <c r="H207" s="33"/>
      <c r="I207" s="33"/>
      <c r="J207" s="33"/>
      <c r="K207" s="33"/>
      <c r="L207" s="33"/>
      <c r="M207" s="33"/>
      <c r="N207" s="33"/>
      <c r="O207" s="33"/>
    </row>
    <row r="208" spans="4:15">
      <c r="D208" s="33"/>
      <c r="E208" s="33"/>
      <c r="F208" s="33"/>
      <c r="G208" s="33"/>
      <c r="H208" s="33"/>
      <c r="I208" s="33"/>
      <c r="J208" s="33"/>
      <c r="K208" s="33"/>
      <c r="L208" s="33"/>
      <c r="M208" s="33"/>
      <c r="N208" s="33"/>
      <c r="O208" s="33"/>
    </row>
    <row r="209" spans="4:15">
      <c r="D209" s="33"/>
      <c r="E209" s="33"/>
      <c r="F209" s="33"/>
      <c r="G209" s="33"/>
      <c r="H209" s="33"/>
      <c r="I209" s="33"/>
      <c r="J209" s="33"/>
      <c r="K209" s="33"/>
      <c r="L209" s="33"/>
      <c r="M209" s="33"/>
      <c r="N209" s="33"/>
      <c r="O209" s="33"/>
    </row>
    <row r="210" spans="4:15">
      <c r="D210" s="33"/>
      <c r="E210" s="33"/>
      <c r="F210" s="33"/>
      <c r="G210" s="33"/>
      <c r="H210" s="33"/>
      <c r="I210" s="33"/>
      <c r="J210" s="33"/>
      <c r="K210" s="33"/>
      <c r="L210" s="33"/>
      <c r="M210" s="33"/>
      <c r="N210" s="33"/>
      <c r="O210" s="33"/>
    </row>
    <row r="211" spans="4:15">
      <c r="D211" s="33"/>
      <c r="E211" s="33"/>
      <c r="F211" s="33"/>
      <c r="G211" s="33"/>
      <c r="H211" s="33"/>
      <c r="I211" s="33"/>
      <c r="J211" s="33"/>
      <c r="K211" s="33"/>
      <c r="L211" s="33"/>
      <c r="M211" s="33"/>
      <c r="N211" s="33"/>
      <c r="O211" s="33"/>
    </row>
    <row r="212" spans="4:15">
      <c r="D212" s="33"/>
      <c r="E212" s="33"/>
      <c r="F212" s="33"/>
      <c r="G212" s="33"/>
      <c r="H212" s="33"/>
      <c r="I212" s="33"/>
      <c r="J212" s="33"/>
      <c r="K212" s="33"/>
      <c r="L212" s="33"/>
      <c r="M212" s="33"/>
      <c r="N212" s="33"/>
      <c r="O212" s="33"/>
    </row>
    <row r="213" spans="4:15">
      <c r="D213" s="33"/>
      <c r="E213" s="33"/>
      <c r="F213" s="33"/>
      <c r="G213" s="33"/>
      <c r="H213" s="33"/>
      <c r="I213" s="33"/>
      <c r="J213" s="33"/>
      <c r="K213" s="33"/>
      <c r="L213" s="33"/>
      <c r="M213" s="33"/>
      <c r="N213" s="33"/>
      <c r="O213" s="33"/>
    </row>
    <row r="214" spans="4:15">
      <c r="D214" s="33"/>
      <c r="E214" s="33"/>
      <c r="F214" s="33"/>
      <c r="G214" s="33"/>
      <c r="H214" s="33"/>
      <c r="I214" s="33"/>
      <c r="J214" s="33"/>
      <c r="K214" s="33"/>
      <c r="L214" s="33"/>
      <c r="M214" s="33"/>
      <c r="N214" s="33"/>
      <c r="O214" s="33"/>
    </row>
    <row r="215" spans="4:15">
      <c r="D215" s="33"/>
      <c r="E215" s="33"/>
      <c r="F215" s="33"/>
      <c r="G215" s="33"/>
      <c r="H215" s="33"/>
      <c r="I215" s="33"/>
      <c r="J215" s="33"/>
      <c r="K215" s="33"/>
      <c r="L215" s="33"/>
      <c r="M215" s="33"/>
      <c r="N215" s="33"/>
      <c r="O215" s="33"/>
    </row>
    <row r="216" spans="4:15">
      <c r="D216" s="33"/>
      <c r="E216" s="33"/>
      <c r="F216" s="33"/>
      <c r="G216" s="33"/>
      <c r="H216" s="33"/>
      <c r="I216" s="33"/>
      <c r="J216" s="33"/>
      <c r="K216" s="33"/>
      <c r="L216" s="33"/>
      <c r="M216" s="33"/>
      <c r="N216" s="33"/>
      <c r="O216" s="33"/>
    </row>
    <row r="217" spans="4:15">
      <c r="D217" s="33"/>
      <c r="E217" s="33"/>
      <c r="F217" s="33"/>
      <c r="G217" s="33"/>
      <c r="H217" s="33"/>
      <c r="I217" s="33"/>
      <c r="J217" s="33"/>
      <c r="K217" s="33"/>
      <c r="L217" s="33"/>
      <c r="M217" s="33"/>
      <c r="N217" s="33"/>
      <c r="O217" s="33"/>
    </row>
    <row r="218" spans="4:15">
      <c r="D218" s="33"/>
      <c r="E218" s="33"/>
      <c r="F218" s="33"/>
      <c r="G218" s="33"/>
      <c r="H218" s="33"/>
      <c r="I218" s="33"/>
      <c r="J218" s="33"/>
      <c r="K218" s="33"/>
      <c r="L218" s="33"/>
      <c r="M218" s="33"/>
      <c r="N218" s="33"/>
      <c r="O218" s="33"/>
    </row>
    <row r="219" spans="4:15">
      <c r="D219" s="33"/>
      <c r="E219" s="33"/>
      <c r="F219" s="33"/>
      <c r="G219" s="33"/>
      <c r="H219" s="33"/>
      <c r="I219" s="33"/>
      <c r="J219" s="33"/>
      <c r="K219" s="33"/>
      <c r="L219" s="33"/>
      <c r="M219" s="33"/>
      <c r="N219" s="33"/>
      <c r="O219" s="33"/>
    </row>
    <row r="220" spans="4:15">
      <c r="D220" s="33"/>
      <c r="E220" s="33"/>
      <c r="F220" s="33"/>
      <c r="G220" s="33"/>
      <c r="H220" s="33"/>
      <c r="I220" s="33"/>
      <c r="J220" s="33"/>
      <c r="K220" s="33"/>
      <c r="L220" s="33"/>
      <c r="M220" s="33"/>
      <c r="N220" s="33"/>
      <c r="O220" s="33"/>
    </row>
    <row r="221" spans="4:15">
      <c r="D221" s="33"/>
      <c r="E221" s="33"/>
      <c r="F221" s="33"/>
      <c r="G221" s="33"/>
      <c r="H221" s="33"/>
      <c r="I221" s="33"/>
      <c r="J221" s="33"/>
      <c r="K221" s="33"/>
      <c r="L221" s="33"/>
      <c r="M221" s="33"/>
      <c r="N221" s="33"/>
      <c r="O221" s="33"/>
    </row>
    <row r="222" spans="4:15">
      <c r="D222" s="33"/>
      <c r="E222" s="33"/>
      <c r="F222" s="33"/>
      <c r="G222" s="33"/>
      <c r="H222" s="33"/>
      <c r="I222" s="33"/>
      <c r="J222" s="33"/>
      <c r="K222" s="33"/>
      <c r="L222" s="33"/>
      <c r="M222" s="33"/>
      <c r="N222" s="33"/>
      <c r="O222" s="33"/>
    </row>
    <row r="223" spans="4:15">
      <c r="D223" s="33"/>
      <c r="E223" s="33"/>
      <c r="F223" s="33"/>
      <c r="G223" s="33"/>
      <c r="H223" s="33"/>
      <c r="I223" s="33"/>
      <c r="J223" s="33"/>
      <c r="K223" s="33"/>
      <c r="L223" s="33"/>
      <c r="M223" s="33"/>
      <c r="N223" s="33"/>
      <c r="O223" s="33"/>
    </row>
    <row r="224" spans="4:15">
      <c r="D224" s="33"/>
      <c r="E224" s="33"/>
      <c r="F224" s="33"/>
      <c r="G224" s="33"/>
      <c r="H224" s="33"/>
      <c r="I224" s="33"/>
      <c r="J224" s="33"/>
      <c r="K224" s="33"/>
      <c r="L224" s="33"/>
      <c r="M224" s="33"/>
      <c r="N224" s="33"/>
      <c r="O224" s="33"/>
    </row>
    <row r="225" spans="4:15">
      <c r="D225" s="33"/>
      <c r="E225" s="33"/>
      <c r="F225" s="33"/>
      <c r="G225" s="33"/>
      <c r="H225" s="33"/>
      <c r="I225" s="33"/>
      <c r="J225" s="33"/>
      <c r="K225" s="33"/>
      <c r="L225" s="33"/>
      <c r="M225" s="33"/>
      <c r="N225" s="33"/>
      <c r="O225" s="33"/>
    </row>
    <row r="226" spans="4:15">
      <c r="D226" s="33"/>
      <c r="E226" s="33"/>
      <c r="F226" s="33"/>
      <c r="G226" s="33"/>
      <c r="H226" s="33"/>
      <c r="I226" s="33"/>
      <c r="J226" s="33"/>
      <c r="K226" s="33"/>
      <c r="L226" s="33"/>
      <c r="M226" s="33"/>
      <c r="N226" s="33"/>
      <c r="O226" s="33"/>
    </row>
    <row r="227" spans="4:15">
      <c r="D227" s="33"/>
      <c r="E227" s="33"/>
      <c r="F227" s="33"/>
      <c r="G227" s="33"/>
      <c r="H227" s="33"/>
      <c r="I227" s="33"/>
      <c r="J227" s="33"/>
      <c r="K227" s="33"/>
      <c r="L227" s="33"/>
      <c r="M227" s="33"/>
      <c r="N227" s="33"/>
      <c r="O227" s="33"/>
    </row>
    <row r="228" spans="4:15">
      <c r="D228" s="33"/>
      <c r="E228" s="33"/>
      <c r="F228" s="33"/>
      <c r="G228" s="33"/>
      <c r="H228" s="33"/>
      <c r="I228" s="33"/>
      <c r="J228" s="33"/>
      <c r="K228" s="33"/>
      <c r="L228" s="33"/>
      <c r="M228" s="33"/>
      <c r="N228" s="33"/>
      <c r="O228" s="33"/>
    </row>
    <row r="229" spans="4:15">
      <c r="D229" s="33"/>
      <c r="E229" s="33"/>
      <c r="F229" s="33"/>
      <c r="G229" s="33"/>
      <c r="H229" s="33"/>
      <c r="I229" s="33"/>
      <c r="J229" s="33"/>
      <c r="K229" s="33"/>
      <c r="L229" s="33"/>
      <c r="M229" s="33"/>
      <c r="N229" s="33"/>
      <c r="O229" s="33"/>
    </row>
    <row r="230" spans="4:15">
      <c r="D230" s="33"/>
      <c r="E230" s="33"/>
      <c r="F230" s="33"/>
      <c r="G230" s="33"/>
      <c r="H230" s="33"/>
      <c r="I230" s="33"/>
      <c r="J230" s="33"/>
      <c r="K230" s="33"/>
      <c r="L230" s="33"/>
      <c r="M230" s="33"/>
      <c r="N230" s="33"/>
      <c r="O230" s="33"/>
    </row>
    <row r="231" spans="4:15">
      <c r="D231" s="33"/>
      <c r="E231" s="33"/>
      <c r="F231" s="33"/>
      <c r="G231" s="33"/>
      <c r="H231" s="33"/>
      <c r="I231" s="33"/>
      <c r="J231" s="33"/>
      <c r="K231" s="33"/>
      <c r="L231" s="33"/>
      <c r="M231" s="33"/>
      <c r="N231" s="33"/>
      <c r="O231" s="33"/>
    </row>
    <row r="232" spans="4:15">
      <c r="D232" s="33"/>
      <c r="E232" s="33"/>
      <c r="F232" s="33"/>
      <c r="G232" s="33"/>
      <c r="H232" s="33"/>
      <c r="I232" s="33"/>
      <c r="J232" s="33"/>
      <c r="K232" s="33"/>
      <c r="L232" s="33"/>
      <c r="M232" s="33"/>
      <c r="N232" s="33"/>
      <c r="O232" s="33"/>
    </row>
    <row r="233" spans="4:15">
      <c r="D233" s="33"/>
      <c r="E233" s="33"/>
      <c r="F233" s="33"/>
      <c r="G233" s="33"/>
      <c r="H233" s="33"/>
      <c r="I233" s="33"/>
      <c r="J233" s="33"/>
      <c r="K233" s="33"/>
      <c r="L233" s="33"/>
      <c r="M233" s="33"/>
      <c r="N233" s="33"/>
      <c r="O233" s="33"/>
    </row>
    <row r="234" spans="4:15">
      <c r="D234" s="33"/>
      <c r="E234" s="33"/>
      <c r="F234" s="33"/>
      <c r="G234" s="33"/>
      <c r="H234" s="33"/>
      <c r="I234" s="33"/>
      <c r="J234" s="33"/>
      <c r="K234" s="33"/>
      <c r="L234" s="33"/>
      <c r="M234" s="33"/>
      <c r="N234" s="33"/>
      <c r="O234" s="33"/>
    </row>
    <row r="235" spans="4:15">
      <c r="D235" s="33"/>
      <c r="E235" s="33"/>
      <c r="F235" s="33"/>
      <c r="G235" s="33"/>
      <c r="H235" s="33"/>
      <c r="I235" s="33"/>
      <c r="J235" s="33"/>
      <c r="K235" s="33"/>
      <c r="L235" s="33"/>
      <c r="M235" s="33"/>
      <c r="N235" s="33"/>
      <c r="O235" s="33"/>
    </row>
    <row r="236" spans="4:15">
      <c r="D236" s="33"/>
      <c r="E236" s="33"/>
      <c r="F236" s="33"/>
      <c r="G236" s="33"/>
      <c r="H236" s="33"/>
      <c r="I236" s="33"/>
      <c r="J236" s="33"/>
      <c r="K236" s="33"/>
      <c r="L236" s="33"/>
      <c r="M236" s="33"/>
      <c r="N236" s="33"/>
      <c r="O236" s="33"/>
    </row>
    <row r="237" spans="4:15">
      <c r="D237" s="33"/>
      <c r="E237" s="33"/>
      <c r="F237" s="33"/>
      <c r="G237" s="33"/>
      <c r="H237" s="33"/>
      <c r="I237" s="33"/>
      <c r="J237" s="33"/>
      <c r="K237" s="33"/>
      <c r="L237" s="33"/>
      <c r="M237" s="33"/>
      <c r="N237" s="33"/>
      <c r="O237" s="33"/>
    </row>
    <row r="238" spans="4:15">
      <c r="D238" s="33"/>
      <c r="E238" s="33"/>
      <c r="F238" s="33"/>
      <c r="G238" s="33"/>
      <c r="H238" s="33"/>
      <c r="I238" s="33"/>
      <c r="J238" s="33"/>
      <c r="K238" s="33"/>
      <c r="L238" s="33"/>
      <c r="M238" s="33"/>
      <c r="N238" s="33"/>
      <c r="O238" s="33"/>
    </row>
    <row r="239" spans="4:15">
      <c r="D239" s="33"/>
      <c r="E239" s="33"/>
      <c r="F239" s="33"/>
      <c r="G239" s="33"/>
      <c r="H239" s="33"/>
      <c r="I239" s="33"/>
      <c r="J239" s="33"/>
      <c r="K239" s="33"/>
      <c r="L239" s="33"/>
      <c r="M239" s="33"/>
      <c r="N239" s="33"/>
      <c r="O239" s="33"/>
    </row>
    <row r="240" spans="4:15">
      <c r="D240" s="33"/>
      <c r="E240" s="33"/>
      <c r="F240" s="33"/>
      <c r="G240" s="33"/>
      <c r="H240" s="33"/>
      <c r="I240" s="33"/>
      <c r="J240" s="33"/>
      <c r="K240" s="33"/>
      <c r="L240" s="33"/>
      <c r="M240" s="33"/>
      <c r="N240" s="33"/>
      <c r="O240" s="33"/>
    </row>
    <row r="241" spans="4:15">
      <c r="D241" s="33"/>
      <c r="E241" s="33"/>
      <c r="F241" s="33"/>
      <c r="G241" s="33"/>
      <c r="H241" s="33"/>
      <c r="I241" s="33"/>
      <c r="J241" s="33"/>
      <c r="K241" s="33"/>
      <c r="L241" s="33"/>
      <c r="M241" s="33"/>
      <c r="N241" s="33"/>
      <c r="O241" s="33"/>
    </row>
    <row r="242" spans="4:15">
      <c r="D242" s="33"/>
      <c r="E242" s="33"/>
      <c r="F242" s="33"/>
      <c r="G242" s="33"/>
      <c r="H242" s="33"/>
      <c r="I242" s="33"/>
      <c r="J242" s="33"/>
      <c r="K242" s="33"/>
      <c r="L242" s="33"/>
      <c r="M242" s="33"/>
      <c r="N242" s="33"/>
      <c r="O242" s="33"/>
    </row>
    <row r="243" spans="4:15">
      <c r="D243" s="33"/>
      <c r="E243" s="33"/>
      <c r="F243" s="33"/>
      <c r="G243" s="33"/>
      <c r="H243" s="33"/>
      <c r="I243" s="33"/>
      <c r="J243" s="33"/>
      <c r="K243" s="33"/>
      <c r="L243" s="33"/>
      <c r="M243" s="33"/>
      <c r="N243" s="33"/>
      <c r="O243" s="33"/>
    </row>
    <row r="244" spans="4:15">
      <c r="D244" s="33"/>
      <c r="E244" s="33"/>
      <c r="F244" s="33"/>
      <c r="G244" s="33"/>
      <c r="H244" s="33"/>
      <c r="I244" s="33"/>
      <c r="J244" s="33"/>
      <c r="K244" s="33"/>
      <c r="L244" s="33"/>
      <c r="M244" s="33"/>
      <c r="N244" s="33"/>
      <c r="O244" s="33"/>
    </row>
    <row r="245" spans="4:15">
      <c r="D245" s="33"/>
      <c r="E245" s="33"/>
      <c r="F245" s="33"/>
      <c r="G245" s="33"/>
      <c r="H245" s="33"/>
      <c r="I245" s="33"/>
      <c r="J245" s="33"/>
      <c r="K245" s="33"/>
      <c r="L245" s="33"/>
      <c r="M245" s="33"/>
      <c r="N245" s="33"/>
      <c r="O245" s="33"/>
    </row>
    <row r="246" spans="4:15">
      <c r="D246" s="33"/>
      <c r="E246" s="33"/>
      <c r="F246" s="33"/>
      <c r="G246" s="33"/>
      <c r="H246" s="33"/>
      <c r="I246" s="33"/>
      <c r="J246" s="33"/>
      <c r="K246" s="33"/>
      <c r="L246" s="33"/>
      <c r="M246" s="33"/>
      <c r="N246" s="33"/>
      <c r="O246" s="33"/>
    </row>
    <row r="247" spans="4:15">
      <c r="D247" s="33"/>
      <c r="E247" s="33"/>
      <c r="F247" s="33"/>
      <c r="G247" s="33"/>
      <c r="H247" s="33"/>
      <c r="I247" s="33"/>
      <c r="J247" s="33"/>
      <c r="K247" s="33"/>
      <c r="L247" s="33"/>
      <c r="M247" s="33"/>
      <c r="N247" s="33"/>
      <c r="O247" s="33"/>
    </row>
    <row r="248" spans="4:15">
      <c r="D248" s="33"/>
      <c r="E248" s="33"/>
      <c r="F248" s="33"/>
      <c r="G248" s="33"/>
      <c r="H248" s="33"/>
      <c r="I248" s="33"/>
      <c r="J248" s="33"/>
      <c r="K248" s="33"/>
      <c r="L248" s="33"/>
      <c r="M248" s="33"/>
      <c r="N248" s="33"/>
      <c r="O248" s="33"/>
    </row>
    <row r="249" spans="4:15">
      <c r="D249" s="33"/>
      <c r="E249" s="33"/>
      <c r="F249" s="33"/>
      <c r="G249" s="33"/>
      <c r="H249" s="33"/>
      <c r="I249" s="33"/>
      <c r="J249" s="33"/>
      <c r="K249" s="33"/>
      <c r="L249" s="33"/>
      <c r="M249" s="33"/>
      <c r="N249" s="33"/>
      <c r="O249" s="33"/>
    </row>
    <row r="250" spans="4:15">
      <c r="D250" s="33"/>
      <c r="E250" s="33"/>
      <c r="F250" s="33"/>
      <c r="G250" s="33"/>
      <c r="H250" s="33"/>
      <c r="I250" s="33"/>
      <c r="J250" s="33"/>
      <c r="K250" s="33"/>
      <c r="L250" s="33"/>
      <c r="M250" s="33"/>
      <c r="N250" s="33"/>
      <c r="O250" s="33"/>
    </row>
    <row r="251" spans="4:15">
      <c r="D251" s="33"/>
      <c r="E251" s="33"/>
      <c r="F251" s="33"/>
      <c r="G251" s="33"/>
      <c r="H251" s="33"/>
      <c r="I251" s="33"/>
      <c r="J251" s="33"/>
      <c r="K251" s="33"/>
      <c r="L251" s="33"/>
      <c r="M251" s="33"/>
      <c r="N251" s="33"/>
      <c r="O251" s="33"/>
    </row>
    <row r="252" spans="4:15">
      <c r="D252" s="33"/>
      <c r="E252" s="33"/>
      <c r="F252" s="33"/>
      <c r="G252" s="33"/>
      <c r="H252" s="33"/>
      <c r="I252" s="33"/>
      <c r="J252" s="33"/>
      <c r="K252" s="33"/>
      <c r="L252" s="33"/>
      <c r="M252" s="33"/>
      <c r="N252" s="33"/>
      <c r="O252" s="33"/>
    </row>
    <row r="253" spans="4:15">
      <c r="D253" s="33"/>
      <c r="E253" s="33"/>
      <c r="F253" s="33"/>
      <c r="G253" s="33"/>
      <c r="H253" s="33"/>
      <c r="I253" s="33"/>
      <c r="J253" s="33"/>
      <c r="K253" s="33"/>
      <c r="L253" s="33"/>
      <c r="M253" s="33"/>
      <c r="N253" s="33"/>
      <c r="O253" s="33"/>
    </row>
    <row r="254" spans="4:15">
      <c r="D254" s="33"/>
      <c r="E254" s="33"/>
      <c r="F254" s="33"/>
      <c r="G254" s="33"/>
      <c r="H254" s="33"/>
      <c r="I254" s="33"/>
      <c r="J254" s="33"/>
      <c r="K254" s="33"/>
      <c r="L254" s="33"/>
      <c r="M254" s="33"/>
      <c r="N254" s="33"/>
      <c r="O254" s="33"/>
    </row>
    <row r="255" spans="4:15">
      <c r="D255" s="33"/>
      <c r="E255" s="33"/>
      <c r="F255" s="33"/>
      <c r="G255" s="33"/>
      <c r="H255" s="33"/>
      <c r="I255" s="33"/>
      <c r="J255" s="33"/>
      <c r="K255" s="33"/>
      <c r="L255" s="33"/>
      <c r="M255" s="33"/>
      <c r="N255" s="33"/>
      <c r="O255" s="33"/>
    </row>
    <row r="256" spans="4:15">
      <c r="D256" s="33"/>
      <c r="E256" s="33"/>
      <c r="F256" s="33"/>
      <c r="G256" s="33"/>
      <c r="H256" s="33"/>
      <c r="I256" s="33"/>
      <c r="J256" s="33"/>
      <c r="K256" s="33"/>
      <c r="L256" s="33"/>
      <c r="M256" s="33"/>
      <c r="N256" s="33"/>
      <c r="O256" s="33"/>
    </row>
    <row r="257" spans="4:15">
      <c r="D257" s="33"/>
      <c r="E257" s="33"/>
      <c r="F257" s="33"/>
      <c r="G257" s="33"/>
      <c r="H257" s="33"/>
      <c r="I257" s="33"/>
      <c r="J257" s="33"/>
      <c r="K257" s="33"/>
      <c r="L257" s="33"/>
      <c r="M257" s="33"/>
      <c r="N257" s="33"/>
      <c r="O257" s="33"/>
    </row>
    <row r="258" spans="4:15">
      <c r="D258" s="33"/>
      <c r="E258" s="33"/>
      <c r="F258" s="33"/>
      <c r="G258" s="33"/>
      <c r="H258" s="33"/>
      <c r="I258" s="33"/>
      <c r="J258" s="33"/>
      <c r="K258" s="33"/>
      <c r="L258" s="33"/>
      <c r="M258" s="33"/>
      <c r="N258" s="33"/>
      <c r="O258" s="33"/>
    </row>
    <row r="259" spans="4:15">
      <c r="D259" s="33"/>
      <c r="E259" s="33"/>
      <c r="F259" s="33"/>
      <c r="G259" s="33"/>
      <c r="H259" s="33"/>
      <c r="I259" s="33"/>
      <c r="J259" s="33"/>
      <c r="K259" s="33"/>
      <c r="L259" s="33"/>
      <c r="M259" s="33"/>
      <c r="N259" s="33"/>
      <c r="O259" s="33"/>
    </row>
    <row r="260" spans="4:15">
      <c r="D260" s="33"/>
      <c r="E260" s="33"/>
      <c r="F260" s="33"/>
      <c r="G260" s="33"/>
      <c r="H260" s="33"/>
      <c r="I260" s="33"/>
      <c r="J260" s="33"/>
      <c r="K260" s="33"/>
      <c r="L260" s="33"/>
      <c r="M260" s="33"/>
      <c r="N260" s="33"/>
      <c r="O260" s="33"/>
    </row>
    <row r="261" spans="4:15">
      <c r="D261" s="33"/>
      <c r="E261" s="33"/>
      <c r="F261" s="33"/>
      <c r="G261" s="33"/>
      <c r="H261" s="33"/>
      <c r="I261" s="33"/>
      <c r="J261" s="33"/>
      <c r="K261" s="33"/>
      <c r="L261" s="33"/>
      <c r="M261" s="33"/>
      <c r="N261" s="33"/>
      <c r="O261" s="33"/>
    </row>
    <row r="262" spans="4:15">
      <c r="D262" s="33"/>
      <c r="E262" s="33"/>
      <c r="F262" s="33"/>
      <c r="G262" s="33"/>
      <c r="H262" s="33"/>
      <c r="I262" s="33"/>
      <c r="J262" s="33"/>
      <c r="K262" s="33"/>
      <c r="L262" s="33"/>
      <c r="M262" s="33"/>
      <c r="N262" s="33"/>
      <c r="O262" s="33"/>
    </row>
    <row r="263" spans="4:15">
      <c r="D263" s="33"/>
      <c r="E263" s="33"/>
      <c r="F263" s="33"/>
      <c r="G263" s="33"/>
      <c r="H263" s="33"/>
      <c r="I263" s="33"/>
      <c r="J263" s="33"/>
      <c r="K263" s="33"/>
      <c r="L263" s="33"/>
      <c r="M263" s="33"/>
      <c r="N263" s="33"/>
      <c r="O263" s="33"/>
    </row>
    <row r="264" spans="4:15">
      <c r="D264" s="33"/>
      <c r="E264" s="33"/>
      <c r="F264" s="33"/>
      <c r="G264" s="33"/>
      <c r="H264" s="33"/>
      <c r="I264" s="33"/>
      <c r="J264" s="33"/>
      <c r="K264" s="33"/>
      <c r="L264" s="33"/>
      <c r="M264" s="33"/>
      <c r="N264" s="33"/>
      <c r="O264" s="33"/>
    </row>
    <row r="265" spans="4:15">
      <c r="D265" s="33"/>
      <c r="E265" s="33"/>
      <c r="F265" s="33"/>
      <c r="G265" s="33"/>
      <c r="H265" s="33"/>
      <c r="I265" s="33"/>
      <c r="J265" s="33"/>
      <c r="K265" s="33"/>
      <c r="L265" s="33"/>
      <c r="M265" s="33"/>
      <c r="N265" s="33"/>
      <c r="O265" s="33"/>
    </row>
    <row r="266" spans="4:15">
      <c r="D266" s="33"/>
      <c r="E266" s="33"/>
      <c r="F266" s="33"/>
      <c r="G266" s="33"/>
      <c r="H266" s="33"/>
      <c r="I266" s="33"/>
      <c r="J266" s="33"/>
      <c r="K266" s="33"/>
      <c r="L266" s="33"/>
      <c r="M266" s="33"/>
      <c r="N266" s="33"/>
      <c r="O266" s="33"/>
    </row>
    <row r="267" spans="4:15">
      <c r="D267" s="33"/>
      <c r="E267" s="33"/>
      <c r="F267" s="33"/>
      <c r="G267" s="33"/>
      <c r="H267" s="33"/>
      <c r="I267" s="33"/>
      <c r="J267" s="33"/>
      <c r="K267" s="33"/>
      <c r="L267" s="33"/>
      <c r="M267" s="33"/>
      <c r="N267" s="33"/>
      <c r="O267" s="33"/>
    </row>
    <row r="268" spans="4:15">
      <c r="D268" s="33"/>
      <c r="E268" s="33"/>
      <c r="F268" s="33"/>
      <c r="G268" s="33"/>
      <c r="H268" s="33"/>
      <c r="I268" s="33"/>
      <c r="J268" s="33"/>
      <c r="K268" s="33"/>
      <c r="L268" s="33"/>
      <c r="M268" s="33"/>
      <c r="N268" s="33"/>
      <c r="O268" s="33"/>
    </row>
    <row r="269" spans="4:15">
      <c r="D269" s="33"/>
      <c r="E269" s="33"/>
      <c r="F269" s="33"/>
      <c r="G269" s="33"/>
      <c r="H269" s="33"/>
      <c r="I269" s="33"/>
      <c r="J269" s="33"/>
      <c r="K269" s="33"/>
      <c r="L269" s="33"/>
      <c r="M269" s="33"/>
      <c r="N269" s="33"/>
      <c r="O269" s="33"/>
    </row>
    <row r="270" spans="4:15">
      <c r="D270" s="33"/>
      <c r="E270" s="33"/>
      <c r="F270" s="33"/>
      <c r="G270" s="33"/>
      <c r="H270" s="33"/>
      <c r="I270" s="33"/>
      <c r="J270" s="33"/>
      <c r="K270" s="33"/>
      <c r="L270" s="33"/>
      <c r="M270" s="33"/>
      <c r="N270" s="33"/>
      <c r="O270" s="33"/>
    </row>
    <row r="271" spans="4:15">
      <c r="D271" s="33"/>
      <c r="E271" s="33"/>
      <c r="F271" s="33"/>
      <c r="G271" s="33"/>
      <c r="H271" s="33"/>
      <c r="I271" s="33"/>
      <c r="J271" s="33"/>
      <c r="K271" s="33"/>
      <c r="L271" s="33"/>
      <c r="M271" s="33"/>
      <c r="N271" s="33"/>
      <c r="O271" s="33"/>
    </row>
    <row r="272" spans="4:15">
      <c r="D272" s="33"/>
      <c r="E272" s="33"/>
      <c r="F272" s="33"/>
      <c r="G272" s="33"/>
      <c r="H272" s="33"/>
      <c r="I272" s="33"/>
      <c r="J272" s="33"/>
      <c r="K272" s="33"/>
      <c r="L272" s="33"/>
      <c r="M272" s="33"/>
      <c r="N272" s="33"/>
      <c r="O272" s="33"/>
    </row>
    <row r="273" spans="4:15">
      <c r="D273" s="33"/>
      <c r="E273" s="33"/>
      <c r="F273" s="33"/>
      <c r="G273" s="33"/>
      <c r="H273" s="33"/>
      <c r="I273" s="33"/>
      <c r="J273" s="33"/>
      <c r="K273" s="33"/>
      <c r="L273" s="33"/>
      <c r="M273" s="33"/>
      <c r="N273" s="33"/>
      <c r="O273" s="33"/>
    </row>
    <row r="274" spans="4:15">
      <c r="D274" s="33"/>
      <c r="E274" s="33"/>
      <c r="F274" s="33"/>
      <c r="G274" s="33"/>
      <c r="H274" s="33"/>
      <c r="I274" s="33"/>
      <c r="J274" s="33"/>
      <c r="K274" s="33"/>
      <c r="L274" s="33"/>
      <c r="M274" s="33"/>
      <c r="N274" s="33"/>
      <c r="O274" s="33"/>
    </row>
    <row r="275" spans="4:15">
      <c r="D275" s="33"/>
      <c r="E275" s="33"/>
      <c r="F275" s="33"/>
      <c r="G275" s="33"/>
      <c r="H275" s="33"/>
      <c r="I275" s="33"/>
      <c r="J275" s="33"/>
      <c r="K275" s="33"/>
      <c r="L275" s="33"/>
      <c r="M275" s="33"/>
      <c r="N275" s="33"/>
      <c r="O275" s="33"/>
    </row>
    <row r="276" spans="4:15">
      <c r="D276" s="33"/>
      <c r="E276" s="33"/>
      <c r="F276" s="33"/>
      <c r="G276" s="33"/>
      <c r="H276" s="33"/>
      <c r="I276" s="33"/>
      <c r="J276" s="33"/>
      <c r="K276" s="33"/>
      <c r="L276" s="33"/>
      <c r="M276" s="33"/>
      <c r="N276" s="33"/>
      <c r="O276" s="33"/>
    </row>
    <row r="277" spans="4:15">
      <c r="D277" s="33"/>
      <c r="E277" s="33"/>
      <c r="F277" s="33"/>
      <c r="G277" s="33"/>
      <c r="H277" s="33"/>
      <c r="I277" s="33"/>
      <c r="J277" s="33"/>
      <c r="K277" s="33"/>
      <c r="L277" s="33"/>
      <c r="M277" s="33"/>
      <c r="N277" s="33"/>
      <c r="O277" s="33"/>
    </row>
    <row r="278" spans="4:15">
      <c r="D278" s="33"/>
      <c r="E278" s="33"/>
      <c r="F278" s="33"/>
      <c r="G278" s="33"/>
      <c r="H278" s="33"/>
      <c r="I278" s="33"/>
      <c r="J278" s="33"/>
      <c r="K278" s="33"/>
      <c r="L278" s="33"/>
      <c r="M278" s="33"/>
      <c r="N278" s="33"/>
      <c r="O278" s="33"/>
    </row>
    <row r="279" spans="4:15">
      <c r="D279" s="33"/>
      <c r="E279" s="33"/>
      <c r="F279" s="33"/>
      <c r="G279" s="33"/>
      <c r="H279" s="33"/>
      <c r="I279" s="33"/>
      <c r="J279" s="33"/>
      <c r="K279" s="33"/>
      <c r="L279" s="33"/>
      <c r="M279" s="33"/>
      <c r="N279" s="33"/>
      <c r="O279" s="33"/>
    </row>
    <row r="280" spans="4:15">
      <c r="D280" s="33"/>
      <c r="E280" s="33"/>
      <c r="F280" s="33"/>
      <c r="G280" s="33"/>
      <c r="H280" s="33"/>
      <c r="I280" s="33"/>
      <c r="J280" s="33"/>
      <c r="K280" s="33"/>
      <c r="L280" s="33"/>
      <c r="M280" s="33"/>
      <c r="N280" s="33"/>
      <c r="O280" s="33"/>
    </row>
    <row r="281" spans="4:15">
      <c r="D281" s="33"/>
      <c r="E281" s="33"/>
      <c r="F281" s="33"/>
      <c r="G281" s="33"/>
      <c r="H281" s="33"/>
      <c r="I281" s="33"/>
      <c r="J281" s="33"/>
      <c r="K281" s="33"/>
      <c r="L281" s="33"/>
      <c r="M281" s="33"/>
      <c r="N281" s="33"/>
      <c r="O281" s="33"/>
    </row>
    <row r="282" spans="4:15">
      <c r="D282" s="33"/>
      <c r="E282" s="33"/>
      <c r="F282" s="33"/>
      <c r="G282" s="33"/>
      <c r="H282" s="33"/>
      <c r="I282" s="33"/>
      <c r="J282" s="33"/>
      <c r="K282" s="33"/>
      <c r="L282" s="33"/>
      <c r="M282" s="33"/>
      <c r="N282" s="33"/>
      <c r="O282" s="33"/>
    </row>
    <row r="283" spans="4:15">
      <c r="D283" s="33"/>
      <c r="E283" s="33"/>
      <c r="F283" s="33"/>
      <c r="G283" s="33"/>
      <c r="H283" s="33"/>
      <c r="I283" s="33"/>
      <c r="J283" s="33"/>
      <c r="K283" s="33"/>
      <c r="L283" s="33"/>
      <c r="M283" s="33"/>
      <c r="N283" s="33"/>
      <c r="O283" s="33"/>
    </row>
    <row r="284" spans="4:15">
      <c r="D284" s="33"/>
      <c r="E284" s="33"/>
      <c r="F284" s="33"/>
      <c r="G284" s="33"/>
      <c r="H284" s="33"/>
      <c r="I284" s="33"/>
      <c r="J284" s="33"/>
      <c r="K284" s="33"/>
      <c r="L284" s="33"/>
      <c r="M284" s="33"/>
      <c r="N284" s="33"/>
      <c r="O284" s="33"/>
    </row>
    <row r="285" spans="4:15">
      <c r="D285" s="33"/>
      <c r="E285" s="33"/>
      <c r="F285" s="33"/>
      <c r="G285" s="33"/>
      <c r="H285" s="33"/>
      <c r="I285" s="33"/>
      <c r="J285" s="33"/>
      <c r="K285" s="33"/>
      <c r="L285" s="33"/>
      <c r="M285" s="33"/>
      <c r="N285" s="33"/>
      <c r="O285" s="33"/>
    </row>
    <row r="286" spans="4:15">
      <c r="D286" s="33"/>
      <c r="E286" s="33"/>
      <c r="F286" s="33"/>
      <c r="G286" s="33"/>
      <c r="H286" s="33"/>
      <c r="I286" s="33"/>
      <c r="J286" s="33"/>
      <c r="K286" s="33"/>
      <c r="L286" s="33"/>
      <c r="M286" s="33"/>
      <c r="N286" s="33"/>
      <c r="O286" s="33"/>
    </row>
    <row r="287" spans="4:15">
      <c r="D287" s="33"/>
      <c r="E287" s="33"/>
      <c r="F287" s="33"/>
      <c r="G287" s="33"/>
      <c r="H287" s="33"/>
      <c r="I287" s="33"/>
      <c r="J287" s="33"/>
      <c r="K287" s="33"/>
      <c r="L287" s="33"/>
      <c r="M287" s="33"/>
      <c r="N287" s="33"/>
      <c r="O287" s="33"/>
    </row>
    <row r="288" spans="4:15">
      <c r="D288" s="33"/>
      <c r="E288" s="33"/>
      <c r="F288" s="33"/>
      <c r="G288" s="33"/>
      <c r="H288" s="33"/>
      <c r="I288" s="33"/>
      <c r="J288" s="33"/>
      <c r="K288" s="33"/>
      <c r="L288" s="33"/>
      <c r="M288" s="33"/>
      <c r="N288" s="33"/>
      <c r="O288" s="33"/>
    </row>
    <row r="289" spans="4:15">
      <c r="D289" s="33"/>
      <c r="E289" s="33"/>
      <c r="F289" s="33"/>
      <c r="G289" s="33"/>
      <c r="H289" s="33"/>
      <c r="I289" s="33"/>
      <c r="J289" s="33"/>
      <c r="K289" s="33"/>
      <c r="L289" s="33"/>
      <c r="M289" s="33"/>
      <c r="N289" s="33"/>
      <c r="O289" s="33"/>
    </row>
    <row r="290" spans="4:15">
      <c r="D290" s="33"/>
      <c r="E290" s="33"/>
      <c r="F290" s="33"/>
      <c r="G290" s="33"/>
      <c r="H290" s="33"/>
      <c r="I290" s="33"/>
      <c r="J290" s="33"/>
      <c r="K290" s="33"/>
      <c r="L290" s="33"/>
      <c r="M290" s="33"/>
      <c r="N290" s="33"/>
      <c r="O290" s="33"/>
    </row>
    <row r="291" spans="4:15">
      <c r="D291" s="33"/>
      <c r="E291" s="33"/>
      <c r="F291" s="33"/>
      <c r="G291" s="33"/>
      <c r="H291" s="33"/>
      <c r="I291" s="33"/>
      <c r="J291" s="33"/>
      <c r="K291" s="33"/>
      <c r="L291" s="33"/>
      <c r="M291" s="33"/>
      <c r="N291" s="33"/>
      <c r="O291" s="33"/>
    </row>
    <row r="292" spans="4:15">
      <c r="D292" s="33"/>
      <c r="E292" s="33"/>
      <c r="F292" s="33"/>
      <c r="G292" s="33"/>
      <c r="H292" s="33"/>
      <c r="I292" s="33"/>
      <c r="J292" s="33"/>
      <c r="K292" s="33"/>
      <c r="L292" s="33"/>
      <c r="M292" s="33"/>
      <c r="N292" s="33"/>
      <c r="O292" s="33"/>
    </row>
    <row r="293" spans="4:15">
      <c r="D293" s="33"/>
      <c r="E293" s="33"/>
      <c r="F293" s="33"/>
      <c r="G293" s="33"/>
      <c r="H293" s="33"/>
      <c r="I293" s="33"/>
      <c r="J293" s="33"/>
      <c r="K293" s="33"/>
      <c r="L293" s="33"/>
      <c r="M293" s="33"/>
      <c r="N293" s="33"/>
      <c r="O293" s="33"/>
    </row>
    <row r="294" spans="4:15">
      <c r="D294" s="33"/>
      <c r="E294" s="33"/>
      <c r="F294" s="33"/>
      <c r="G294" s="33"/>
      <c r="H294" s="33"/>
      <c r="I294" s="33"/>
      <c r="J294" s="33"/>
      <c r="K294" s="33"/>
      <c r="L294" s="33"/>
      <c r="M294" s="33"/>
      <c r="N294" s="33"/>
      <c r="O294" s="33"/>
    </row>
    <row r="295" spans="4:15">
      <c r="D295" s="33"/>
      <c r="E295" s="33"/>
      <c r="F295" s="33"/>
      <c r="G295" s="33"/>
      <c r="H295" s="33"/>
      <c r="I295" s="33"/>
      <c r="J295" s="33"/>
      <c r="K295" s="33"/>
      <c r="L295" s="33"/>
      <c r="M295" s="33"/>
      <c r="N295" s="33"/>
      <c r="O295" s="33"/>
    </row>
    <row r="296" spans="4:15">
      <c r="D296" s="33"/>
      <c r="E296" s="33"/>
      <c r="F296" s="33"/>
      <c r="G296" s="33"/>
      <c r="H296" s="33"/>
      <c r="I296" s="33"/>
      <c r="J296" s="33"/>
      <c r="K296" s="33"/>
      <c r="L296" s="33"/>
      <c r="M296" s="33"/>
      <c r="N296" s="33"/>
      <c r="O296" s="33"/>
    </row>
    <row r="297" spans="4:15">
      <c r="D297" s="33"/>
      <c r="E297" s="33"/>
      <c r="F297" s="33"/>
      <c r="G297" s="33"/>
      <c r="H297" s="33"/>
      <c r="I297" s="33"/>
      <c r="J297" s="33"/>
      <c r="K297" s="33"/>
      <c r="L297" s="33"/>
      <c r="M297" s="33"/>
      <c r="N297" s="33"/>
      <c r="O297" s="33"/>
    </row>
    <row r="298" spans="4:15">
      <c r="D298" s="33"/>
      <c r="E298" s="33"/>
      <c r="F298" s="33"/>
      <c r="G298" s="33"/>
      <c r="H298" s="33"/>
      <c r="I298" s="33"/>
      <c r="J298" s="33"/>
      <c r="K298" s="33"/>
      <c r="L298" s="33"/>
      <c r="M298" s="33"/>
      <c r="N298" s="33"/>
      <c r="O298" s="33"/>
    </row>
    <row r="299" spans="4:15">
      <c r="D299" s="33"/>
      <c r="E299" s="33"/>
      <c r="F299" s="33"/>
      <c r="G299" s="33"/>
      <c r="H299" s="33"/>
      <c r="I299" s="33"/>
      <c r="J299" s="33"/>
      <c r="K299" s="33"/>
      <c r="L299" s="33"/>
      <c r="M299" s="33"/>
      <c r="N299" s="33"/>
      <c r="O299" s="33"/>
    </row>
    <row r="300" spans="4:15">
      <c r="D300" s="33"/>
      <c r="E300" s="33"/>
      <c r="F300" s="33"/>
      <c r="G300" s="33"/>
      <c r="H300" s="33"/>
      <c r="I300" s="33"/>
      <c r="J300" s="33"/>
      <c r="K300" s="33"/>
      <c r="L300" s="33"/>
      <c r="M300" s="33"/>
      <c r="N300" s="33"/>
      <c r="O300" s="33"/>
    </row>
    <row r="301" spans="4:15">
      <c r="D301" s="33"/>
      <c r="E301" s="33"/>
      <c r="F301" s="33"/>
      <c r="G301" s="33"/>
      <c r="H301" s="33"/>
      <c r="I301" s="33"/>
      <c r="J301" s="33"/>
      <c r="K301" s="33"/>
      <c r="L301" s="33"/>
      <c r="M301" s="33"/>
      <c r="N301" s="33"/>
      <c r="O301" s="33"/>
    </row>
    <row r="302" spans="4:15">
      <c r="D302" s="33"/>
      <c r="E302" s="33"/>
      <c r="F302" s="33"/>
      <c r="G302" s="33"/>
      <c r="H302" s="33"/>
      <c r="I302" s="33"/>
      <c r="J302" s="33"/>
      <c r="K302" s="33"/>
      <c r="L302" s="33"/>
      <c r="M302" s="33"/>
      <c r="N302" s="33"/>
      <c r="O302" s="33"/>
    </row>
    <row r="303" spans="4:15">
      <c r="D303" s="33"/>
      <c r="E303" s="33"/>
      <c r="F303" s="33"/>
      <c r="G303" s="33"/>
      <c r="H303" s="33"/>
      <c r="I303" s="33"/>
      <c r="J303" s="33"/>
      <c r="K303" s="33"/>
      <c r="L303" s="33"/>
      <c r="M303" s="33"/>
      <c r="N303" s="33"/>
      <c r="O303" s="33"/>
    </row>
    <row r="304" spans="4:15">
      <c r="D304" s="33"/>
      <c r="E304" s="33"/>
      <c r="F304" s="33"/>
      <c r="G304" s="33"/>
      <c r="H304" s="33"/>
      <c r="I304" s="33"/>
      <c r="J304" s="33"/>
      <c r="K304" s="33"/>
      <c r="L304" s="33"/>
      <c r="M304" s="33"/>
      <c r="N304" s="33"/>
      <c r="O304" s="33"/>
    </row>
    <row r="305" spans="4:15">
      <c r="D305" s="33"/>
      <c r="E305" s="33"/>
      <c r="F305" s="33"/>
      <c r="G305" s="33"/>
      <c r="H305" s="33"/>
      <c r="I305" s="33"/>
      <c r="J305" s="33"/>
      <c r="K305" s="33"/>
      <c r="L305" s="33"/>
      <c r="M305" s="33"/>
      <c r="N305" s="33"/>
      <c r="O305" s="33"/>
    </row>
    <row r="306" spans="4:15">
      <c r="D306" s="33"/>
      <c r="E306" s="33"/>
      <c r="F306" s="33"/>
      <c r="G306" s="33"/>
      <c r="H306" s="33"/>
      <c r="I306" s="33"/>
      <c r="J306" s="33"/>
      <c r="K306" s="33"/>
      <c r="L306" s="33"/>
      <c r="M306" s="33"/>
      <c r="N306" s="33"/>
      <c r="O306" s="33"/>
    </row>
    <row r="307" spans="4:15">
      <c r="D307" s="33"/>
      <c r="E307" s="33"/>
      <c r="F307" s="33"/>
      <c r="G307" s="33"/>
      <c r="H307" s="33"/>
      <c r="I307" s="33"/>
      <c r="J307" s="33"/>
      <c r="K307" s="33"/>
      <c r="L307" s="33"/>
      <c r="M307" s="33"/>
      <c r="N307" s="33"/>
      <c r="O307" s="33"/>
    </row>
    <row r="308" spans="4:15">
      <c r="D308" s="33"/>
      <c r="E308" s="33"/>
      <c r="F308" s="33"/>
      <c r="G308" s="33"/>
      <c r="H308" s="33"/>
      <c r="I308" s="33"/>
      <c r="J308" s="33"/>
      <c r="K308" s="33"/>
      <c r="L308" s="33"/>
      <c r="M308" s="33"/>
      <c r="N308" s="33"/>
      <c r="O308" s="33"/>
    </row>
    <row r="309" spans="4:15">
      <c r="D309" s="33"/>
      <c r="E309" s="33"/>
      <c r="F309" s="33"/>
      <c r="G309" s="33"/>
      <c r="H309" s="33"/>
      <c r="I309" s="33"/>
      <c r="J309" s="33"/>
      <c r="K309" s="33"/>
      <c r="L309" s="33"/>
      <c r="M309" s="33"/>
      <c r="N309" s="33"/>
      <c r="O309" s="33"/>
    </row>
    <row r="310" spans="4:15">
      <c r="D310" s="33"/>
      <c r="E310" s="33"/>
      <c r="F310" s="33"/>
      <c r="G310" s="33"/>
      <c r="H310" s="33"/>
      <c r="I310" s="33"/>
      <c r="J310" s="33"/>
      <c r="K310" s="33"/>
      <c r="L310" s="33"/>
      <c r="M310" s="33"/>
      <c r="N310" s="33"/>
      <c r="O310" s="33"/>
    </row>
    <row r="311" spans="4:15">
      <c r="D311" s="33"/>
      <c r="E311" s="33"/>
      <c r="F311" s="33"/>
      <c r="G311" s="33"/>
      <c r="H311" s="33"/>
      <c r="I311" s="33"/>
      <c r="J311" s="33"/>
      <c r="K311" s="33"/>
      <c r="L311" s="33"/>
      <c r="M311" s="33"/>
      <c r="N311" s="33"/>
      <c r="O311" s="33"/>
    </row>
    <row r="312" spans="4:15">
      <c r="D312" s="33"/>
      <c r="E312" s="33"/>
      <c r="F312" s="33"/>
      <c r="G312" s="33"/>
      <c r="H312" s="33"/>
      <c r="I312" s="33"/>
      <c r="J312" s="33"/>
      <c r="K312" s="33"/>
      <c r="L312" s="33"/>
      <c r="M312" s="33"/>
      <c r="N312" s="33"/>
      <c r="O312" s="33"/>
    </row>
    <row r="313" spans="4:15">
      <c r="D313" s="33"/>
      <c r="E313" s="33"/>
      <c r="F313" s="33"/>
      <c r="G313" s="33"/>
      <c r="H313" s="33"/>
      <c r="I313" s="33"/>
      <c r="J313" s="33"/>
      <c r="K313" s="33"/>
      <c r="L313" s="33"/>
      <c r="M313" s="33"/>
      <c r="N313" s="33"/>
      <c r="O313" s="33"/>
    </row>
    <row r="314" spans="4:15">
      <c r="D314" s="33"/>
      <c r="E314" s="33"/>
      <c r="F314" s="33"/>
      <c r="G314" s="33"/>
      <c r="H314" s="33"/>
      <c r="I314" s="33"/>
      <c r="J314" s="33"/>
      <c r="K314" s="33"/>
      <c r="L314" s="33"/>
      <c r="M314" s="33"/>
      <c r="N314" s="33"/>
      <c r="O314" s="33"/>
    </row>
    <row r="315" spans="4:15">
      <c r="D315" s="33"/>
      <c r="E315" s="33"/>
      <c r="F315" s="33"/>
      <c r="G315" s="33"/>
      <c r="H315" s="33"/>
      <c r="I315" s="33"/>
      <c r="J315" s="33"/>
      <c r="K315" s="33"/>
      <c r="L315" s="33"/>
      <c r="M315" s="33"/>
      <c r="N315" s="33"/>
      <c r="O315" s="33"/>
    </row>
    <row r="316" spans="4:15">
      <c r="D316" s="33"/>
      <c r="E316" s="33"/>
      <c r="F316" s="33"/>
      <c r="G316" s="33"/>
      <c r="H316" s="33"/>
      <c r="I316" s="33"/>
      <c r="J316" s="33"/>
      <c r="K316" s="33"/>
      <c r="L316" s="33"/>
      <c r="M316" s="33"/>
      <c r="N316" s="33"/>
      <c r="O316" s="33"/>
    </row>
    <row r="317" spans="4:15">
      <c r="D317" s="33"/>
      <c r="E317" s="33"/>
      <c r="F317" s="33"/>
      <c r="G317" s="33"/>
      <c r="H317" s="33"/>
      <c r="I317" s="33"/>
      <c r="J317" s="33"/>
      <c r="K317" s="33"/>
      <c r="L317" s="33"/>
      <c r="M317" s="33"/>
      <c r="N317" s="33"/>
      <c r="O317" s="33"/>
    </row>
    <row r="318" spans="4:15">
      <c r="D318" s="33"/>
      <c r="E318" s="33"/>
      <c r="F318" s="33"/>
      <c r="G318" s="33"/>
      <c r="H318" s="33"/>
      <c r="I318" s="33"/>
      <c r="J318" s="33"/>
      <c r="K318" s="33"/>
      <c r="L318" s="33"/>
      <c r="M318" s="33"/>
      <c r="N318" s="33"/>
      <c r="O318" s="33"/>
    </row>
    <row r="319" spans="4:15">
      <c r="D319" s="33"/>
      <c r="E319" s="33"/>
      <c r="F319" s="33"/>
      <c r="G319" s="33"/>
      <c r="H319" s="33"/>
      <c r="I319" s="33"/>
      <c r="J319" s="33"/>
      <c r="K319" s="33"/>
      <c r="L319" s="33"/>
      <c r="M319" s="33"/>
      <c r="N319" s="33"/>
      <c r="O319" s="33"/>
    </row>
    <row r="320" spans="4:15">
      <c r="D320" s="33"/>
      <c r="E320" s="33"/>
      <c r="F320" s="33"/>
      <c r="G320" s="33"/>
      <c r="H320" s="33"/>
      <c r="I320" s="33"/>
      <c r="J320" s="33"/>
      <c r="K320" s="33"/>
      <c r="L320" s="33"/>
      <c r="M320" s="33"/>
      <c r="N320" s="33"/>
      <c r="O320" s="33"/>
    </row>
    <row r="321" spans="4:15">
      <c r="D321" s="33"/>
      <c r="E321" s="33"/>
      <c r="F321" s="33"/>
      <c r="G321" s="33"/>
      <c r="H321" s="33"/>
      <c r="I321" s="33"/>
      <c r="J321" s="33"/>
      <c r="K321" s="33"/>
      <c r="L321" s="33"/>
      <c r="M321" s="33"/>
      <c r="N321" s="33"/>
      <c r="O321" s="33"/>
    </row>
    <row r="322" spans="4:15">
      <c r="D322" s="33"/>
      <c r="E322" s="33"/>
      <c r="F322" s="33"/>
      <c r="G322" s="33"/>
      <c r="H322" s="33"/>
      <c r="I322" s="33"/>
      <c r="J322" s="33"/>
      <c r="K322" s="33"/>
      <c r="L322" s="33"/>
      <c r="M322" s="33"/>
      <c r="N322" s="33"/>
      <c r="O322" s="33"/>
    </row>
    <row r="323" spans="4:15">
      <c r="D323" s="33"/>
      <c r="E323" s="33"/>
      <c r="F323" s="33"/>
      <c r="G323" s="33"/>
      <c r="H323" s="33"/>
      <c r="I323" s="33"/>
      <c r="J323" s="33"/>
      <c r="K323" s="33"/>
      <c r="L323" s="33"/>
      <c r="M323" s="33"/>
      <c r="N323" s="33"/>
      <c r="O323" s="33"/>
    </row>
    <row r="324" spans="4:15">
      <c r="D324" s="33"/>
      <c r="E324" s="33"/>
      <c r="F324" s="33"/>
      <c r="G324" s="33"/>
      <c r="H324" s="33"/>
      <c r="I324" s="33"/>
      <c r="J324" s="33"/>
      <c r="K324" s="33"/>
      <c r="L324" s="33"/>
      <c r="M324" s="33"/>
      <c r="N324" s="33"/>
      <c r="O324" s="33"/>
    </row>
    <row r="325" spans="4:15">
      <c r="D325" s="33"/>
      <c r="E325" s="33"/>
      <c r="F325" s="33"/>
      <c r="G325" s="33"/>
      <c r="H325" s="33"/>
      <c r="I325" s="33"/>
      <c r="J325" s="33"/>
      <c r="K325" s="33"/>
      <c r="L325" s="33"/>
      <c r="M325" s="33"/>
      <c r="N325" s="33"/>
      <c r="O325" s="33"/>
    </row>
    <row r="326" spans="4:15">
      <c r="D326" s="33"/>
      <c r="E326" s="33"/>
      <c r="F326" s="33"/>
      <c r="G326" s="33"/>
      <c r="H326" s="33"/>
      <c r="I326" s="33"/>
      <c r="J326" s="33"/>
      <c r="K326" s="33"/>
      <c r="L326" s="33"/>
      <c r="M326" s="33"/>
      <c r="N326" s="33"/>
      <c r="O326" s="33"/>
    </row>
    <row r="327" spans="4:15">
      <c r="D327" s="33"/>
      <c r="E327" s="33"/>
      <c r="F327" s="33"/>
      <c r="G327" s="33"/>
      <c r="H327" s="33"/>
      <c r="I327" s="33"/>
      <c r="J327" s="33"/>
      <c r="K327" s="33"/>
      <c r="L327" s="33"/>
      <c r="M327" s="33"/>
      <c r="N327" s="33"/>
      <c r="O327" s="33"/>
    </row>
    <row r="328" spans="4:15">
      <c r="D328" s="33"/>
      <c r="E328" s="33"/>
      <c r="F328" s="33"/>
      <c r="G328" s="33"/>
      <c r="H328" s="33"/>
      <c r="I328" s="33"/>
      <c r="J328" s="33"/>
      <c r="K328" s="33"/>
      <c r="L328" s="33"/>
      <c r="M328" s="33"/>
      <c r="N328" s="33"/>
      <c r="O328" s="33"/>
    </row>
    <row r="329" spans="4:15">
      <c r="D329" s="33"/>
      <c r="E329" s="33"/>
      <c r="F329" s="33"/>
      <c r="G329" s="33"/>
      <c r="H329" s="33"/>
      <c r="I329" s="33"/>
      <c r="J329" s="33"/>
      <c r="K329" s="33"/>
      <c r="L329" s="33"/>
      <c r="M329" s="33"/>
      <c r="N329" s="33"/>
      <c r="O329" s="33"/>
    </row>
    <row r="330" spans="4:15">
      <c r="D330" s="33"/>
      <c r="E330" s="33"/>
      <c r="F330" s="33"/>
      <c r="G330" s="33"/>
      <c r="H330" s="33"/>
      <c r="I330" s="33"/>
      <c r="J330" s="33"/>
      <c r="K330" s="33"/>
      <c r="L330" s="33"/>
      <c r="M330" s="33"/>
      <c r="N330" s="33"/>
      <c r="O330" s="33"/>
    </row>
    <row r="331" spans="4:15">
      <c r="D331" s="33"/>
      <c r="E331" s="33"/>
      <c r="F331" s="33"/>
      <c r="G331" s="33"/>
      <c r="H331" s="33"/>
      <c r="I331" s="33"/>
      <c r="J331" s="33"/>
      <c r="K331" s="33"/>
      <c r="L331" s="33"/>
      <c r="M331" s="33"/>
      <c r="N331" s="33"/>
      <c r="O331" s="33"/>
    </row>
    <row r="332" spans="4:15">
      <c r="D332" s="33"/>
      <c r="E332" s="33"/>
      <c r="F332" s="33"/>
      <c r="G332" s="33"/>
      <c r="H332" s="33"/>
      <c r="I332" s="33"/>
      <c r="J332" s="33"/>
      <c r="K332" s="33"/>
      <c r="L332" s="33"/>
      <c r="M332" s="33"/>
      <c r="N332" s="33"/>
      <c r="O332" s="33"/>
    </row>
    <row r="333" spans="4:15">
      <c r="D333" s="33"/>
      <c r="E333" s="33"/>
      <c r="F333" s="33"/>
      <c r="G333" s="33"/>
      <c r="H333" s="33"/>
      <c r="I333" s="33"/>
      <c r="J333" s="33"/>
      <c r="K333" s="33"/>
      <c r="L333" s="33"/>
      <c r="M333" s="33"/>
      <c r="N333" s="33"/>
      <c r="O333" s="33"/>
    </row>
    <row r="334" spans="4:15">
      <c r="D334" s="33"/>
      <c r="E334" s="33"/>
      <c r="F334" s="33"/>
      <c r="G334" s="33"/>
      <c r="H334" s="33"/>
      <c r="I334" s="33"/>
      <c r="J334" s="33"/>
      <c r="K334" s="33"/>
      <c r="L334" s="33"/>
      <c r="M334" s="33"/>
      <c r="N334" s="33"/>
      <c r="O334" s="33"/>
    </row>
    <row r="335" spans="4:15">
      <c r="D335" s="33"/>
      <c r="E335" s="33"/>
      <c r="F335" s="33"/>
      <c r="G335" s="33"/>
      <c r="H335" s="33"/>
      <c r="I335" s="33"/>
      <c r="J335" s="33"/>
      <c r="K335" s="33"/>
      <c r="L335" s="33"/>
      <c r="M335" s="33"/>
      <c r="N335" s="33"/>
      <c r="O335" s="33"/>
    </row>
    <row r="336" spans="4:15">
      <c r="D336" s="33"/>
      <c r="E336" s="33"/>
      <c r="F336" s="33"/>
      <c r="G336" s="33"/>
      <c r="H336" s="33"/>
      <c r="I336" s="33"/>
      <c r="J336" s="33"/>
      <c r="K336" s="33"/>
      <c r="L336" s="33"/>
      <c r="M336" s="33"/>
      <c r="N336" s="33"/>
      <c r="O336" s="33"/>
    </row>
    <row r="337" spans="4:15">
      <c r="D337" s="33"/>
      <c r="E337" s="33"/>
      <c r="F337" s="33"/>
      <c r="G337" s="33"/>
      <c r="H337" s="33"/>
      <c r="I337" s="33"/>
      <c r="J337" s="33"/>
      <c r="K337" s="33"/>
      <c r="L337" s="33"/>
      <c r="M337" s="33"/>
      <c r="N337" s="33"/>
      <c r="O337" s="33"/>
    </row>
    <row r="338" spans="4:15">
      <c r="D338" s="33"/>
      <c r="E338" s="33"/>
      <c r="F338" s="33"/>
      <c r="G338" s="33"/>
      <c r="H338" s="33"/>
      <c r="I338" s="33"/>
      <c r="J338" s="33"/>
      <c r="K338" s="33"/>
      <c r="L338" s="33"/>
      <c r="M338" s="33"/>
      <c r="N338" s="33"/>
      <c r="O338" s="33"/>
    </row>
    <row r="339" spans="4:15">
      <c r="D339" s="33"/>
      <c r="E339" s="33"/>
      <c r="F339" s="33"/>
      <c r="G339" s="33"/>
      <c r="H339" s="33"/>
      <c r="I339" s="33"/>
      <c r="J339" s="33"/>
      <c r="K339" s="33"/>
      <c r="L339" s="33"/>
      <c r="M339" s="33"/>
      <c r="N339" s="33"/>
      <c r="O339" s="33"/>
    </row>
    <row r="340" spans="4:15">
      <c r="D340" s="33"/>
      <c r="E340" s="33"/>
      <c r="F340" s="33"/>
      <c r="G340" s="33"/>
      <c r="H340" s="33"/>
      <c r="I340" s="33"/>
      <c r="J340" s="33"/>
      <c r="K340" s="33"/>
      <c r="L340" s="33"/>
      <c r="M340" s="33"/>
      <c r="N340" s="33"/>
      <c r="O340" s="33"/>
    </row>
    <row r="341" spans="4:15">
      <c r="D341" s="33"/>
      <c r="E341" s="33"/>
      <c r="F341" s="33"/>
      <c r="G341" s="33"/>
      <c r="H341" s="33"/>
      <c r="I341" s="33"/>
      <c r="J341" s="33"/>
      <c r="K341" s="33"/>
      <c r="L341" s="33"/>
      <c r="M341" s="33"/>
      <c r="N341" s="33"/>
      <c r="O341" s="33"/>
    </row>
    <row r="342" spans="4:15">
      <c r="D342" s="33"/>
      <c r="E342" s="33"/>
      <c r="F342" s="33"/>
      <c r="G342" s="33"/>
      <c r="H342" s="33"/>
      <c r="I342" s="33"/>
      <c r="J342" s="33"/>
      <c r="K342" s="33"/>
      <c r="L342" s="33"/>
      <c r="M342" s="33"/>
      <c r="N342" s="33"/>
      <c r="O342" s="33"/>
    </row>
    <row r="343" spans="4:15">
      <c r="D343" s="33"/>
      <c r="E343" s="33"/>
      <c r="F343" s="33"/>
      <c r="G343" s="33"/>
      <c r="H343" s="33"/>
      <c r="I343" s="33"/>
      <c r="J343" s="33"/>
      <c r="K343" s="33"/>
      <c r="L343" s="33"/>
      <c r="M343" s="33"/>
      <c r="N343" s="33"/>
      <c r="O343" s="33"/>
    </row>
    <row r="344" spans="4:15">
      <c r="D344" s="33"/>
      <c r="E344" s="33"/>
      <c r="F344" s="33"/>
      <c r="G344" s="33"/>
      <c r="H344" s="33"/>
      <c r="I344" s="33"/>
      <c r="J344" s="33"/>
      <c r="K344" s="33"/>
      <c r="L344" s="33"/>
      <c r="M344" s="33"/>
      <c r="N344" s="33"/>
      <c r="O344" s="33"/>
    </row>
    <row r="345" spans="4:15">
      <c r="D345" s="33"/>
      <c r="E345" s="33"/>
      <c r="F345" s="33"/>
      <c r="G345" s="33"/>
      <c r="H345" s="33"/>
      <c r="I345" s="33"/>
      <c r="J345" s="33"/>
      <c r="K345" s="33"/>
      <c r="L345" s="33"/>
      <c r="M345" s="33"/>
      <c r="N345" s="33"/>
      <c r="O345" s="33"/>
    </row>
    <row r="346" spans="4:15">
      <c r="D346" s="33"/>
      <c r="E346" s="33"/>
      <c r="F346" s="33"/>
      <c r="G346" s="33"/>
      <c r="H346" s="33"/>
      <c r="I346" s="33"/>
      <c r="J346" s="33"/>
      <c r="K346" s="33"/>
      <c r="L346" s="33"/>
      <c r="M346" s="33"/>
      <c r="N346" s="33"/>
      <c r="O346" s="33"/>
    </row>
    <row r="347" spans="4:15">
      <c r="D347" s="33"/>
      <c r="E347" s="33"/>
      <c r="F347" s="33"/>
      <c r="G347" s="33"/>
      <c r="H347" s="33"/>
      <c r="I347" s="33"/>
      <c r="J347" s="33"/>
      <c r="K347" s="33"/>
      <c r="L347" s="33"/>
      <c r="M347" s="33"/>
      <c r="N347" s="33"/>
      <c r="O347" s="33"/>
    </row>
    <row r="348" spans="4:15">
      <c r="D348" s="33"/>
      <c r="E348" s="33"/>
      <c r="F348" s="33"/>
      <c r="G348" s="33"/>
      <c r="H348" s="33"/>
      <c r="I348" s="33"/>
      <c r="J348" s="33"/>
      <c r="K348" s="33"/>
      <c r="L348" s="33"/>
      <c r="M348" s="33"/>
      <c r="N348" s="33"/>
      <c r="O348" s="33"/>
    </row>
    <row r="349" spans="4:15">
      <c r="D349" s="33"/>
      <c r="E349" s="33"/>
      <c r="F349" s="33"/>
      <c r="G349" s="33"/>
      <c r="H349" s="33"/>
      <c r="I349" s="33"/>
      <c r="J349" s="33"/>
      <c r="K349" s="33"/>
      <c r="L349" s="33"/>
      <c r="M349" s="33"/>
      <c r="N349" s="33"/>
      <c r="O349" s="33"/>
    </row>
    <row r="350" spans="4:15">
      <c r="D350" s="33"/>
      <c r="E350" s="33"/>
      <c r="F350" s="33"/>
      <c r="G350" s="33"/>
      <c r="H350" s="33"/>
      <c r="I350" s="33"/>
      <c r="J350" s="33"/>
      <c r="K350" s="33"/>
      <c r="L350" s="33"/>
      <c r="M350" s="33"/>
      <c r="N350" s="33"/>
      <c r="O350" s="33"/>
    </row>
    <row r="351" spans="4:15">
      <c r="D351" s="33"/>
      <c r="E351" s="33"/>
      <c r="F351" s="33"/>
      <c r="G351" s="33"/>
      <c r="H351" s="33"/>
      <c r="I351" s="33"/>
      <c r="J351" s="33"/>
      <c r="K351" s="33"/>
      <c r="L351" s="33"/>
      <c r="M351" s="33"/>
      <c r="N351" s="33"/>
      <c r="O351" s="33"/>
    </row>
    <row r="352" spans="4:15">
      <c r="D352" s="33"/>
      <c r="E352" s="33"/>
      <c r="F352" s="33"/>
      <c r="G352" s="33"/>
      <c r="H352" s="33"/>
      <c r="I352" s="33"/>
      <c r="J352" s="33"/>
      <c r="K352" s="33"/>
      <c r="L352" s="33"/>
      <c r="M352" s="33"/>
      <c r="N352" s="33"/>
      <c r="O352" s="33"/>
    </row>
    <row r="353" spans="4:15">
      <c r="D353" s="33"/>
      <c r="E353" s="33"/>
      <c r="F353" s="33"/>
      <c r="G353" s="33"/>
      <c r="H353" s="33"/>
      <c r="I353" s="33"/>
      <c r="J353" s="33"/>
      <c r="K353" s="33"/>
      <c r="L353" s="33"/>
      <c r="M353" s="33"/>
      <c r="N353" s="33"/>
      <c r="O353" s="33"/>
    </row>
    <row r="354" spans="4:15">
      <c r="D354" s="33"/>
      <c r="E354" s="33"/>
      <c r="F354" s="33"/>
      <c r="G354" s="33"/>
      <c r="H354" s="33"/>
      <c r="I354" s="33"/>
      <c r="J354" s="33"/>
      <c r="K354" s="33"/>
      <c r="L354" s="33"/>
      <c r="M354" s="33"/>
      <c r="N354" s="33"/>
      <c r="O354" s="33"/>
    </row>
    <row r="355" spans="4:15">
      <c r="D355" s="33"/>
      <c r="E355" s="33"/>
      <c r="F355" s="33"/>
      <c r="G355" s="33"/>
      <c r="H355" s="33"/>
      <c r="I355" s="33"/>
      <c r="J355" s="33"/>
      <c r="K355" s="33"/>
      <c r="L355" s="33"/>
      <c r="M355" s="33"/>
      <c r="N355" s="33"/>
      <c r="O355" s="33"/>
    </row>
    <row r="356" spans="4:15">
      <c r="D356" s="33"/>
      <c r="E356" s="33"/>
      <c r="F356" s="33"/>
      <c r="G356" s="33"/>
      <c r="H356" s="33"/>
      <c r="I356" s="33"/>
      <c r="J356" s="33"/>
      <c r="K356" s="33"/>
      <c r="L356" s="33"/>
      <c r="M356" s="33"/>
      <c r="N356" s="33"/>
      <c r="O356" s="33"/>
    </row>
    <row r="357" spans="4:15">
      <c r="D357" s="33"/>
      <c r="E357" s="33"/>
      <c r="F357" s="33"/>
      <c r="G357" s="33"/>
      <c r="H357" s="33"/>
      <c r="I357" s="33"/>
      <c r="J357" s="33"/>
      <c r="K357" s="33"/>
      <c r="L357" s="33"/>
      <c r="M357" s="33"/>
      <c r="N357" s="33"/>
      <c r="O357" s="33"/>
    </row>
    <row r="358" spans="4:15">
      <c r="D358" s="33"/>
      <c r="E358" s="33"/>
      <c r="F358" s="33"/>
      <c r="G358" s="33"/>
      <c r="H358" s="33"/>
      <c r="I358" s="33"/>
      <c r="J358" s="33"/>
      <c r="K358" s="33"/>
      <c r="L358" s="33"/>
      <c r="M358" s="33"/>
      <c r="N358" s="33"/>
      <c r="O358" s="33"/>
    </row>
    <row r="359" spans="4:15">
      <c r="D359" s="33"/>
      <c r="E359" s="33"/>
      <c r="F359" s="33"/>
      <c r="G359" s="33"/>
      <c r="H359" s="33"/>
      <c r="I359" s="33"/>
      <c r="J359" s="33"/>
      <c r="K359" s="33"/>
      <c r="L359" s="33"/>
      <c r="M359" s="33"/>
      <c r="N359" s="33"/>
      <c r="O359" s="33"/>
    </row>
    <row r="360" spans="4:15">
      <c r="D360" s="33"/>
      <c r="E360" s="33"/>
      <c r="F360" s="33"/>
      <c r="G360" s="33"/>
      <c r="H360" s="33"/>
      <c r="I360" s="33"/>
      <c r="J360" s="33"/>
      <c r="K360" s="33"/>
      <c r="L360" s="33"/>
      <c r="M360" s="33"/>
      <c r="N360" s="33"/>
      <c r="O360" s="33"/>
    </row>
    <row r="361" spans="4:15">
      <c r="D361" s="33"/>
      <c r="E361" s="33"/>
      <c r="F361" s="33"/>
      <c r="G361" s="33"/>
      <c r="H361" s="33"/>
      <c r="I361" s="33"/>
      <c r="J361" s="33"/>
      <c r="K361" s="33"/>
      <c r="L361" s="33"/>
      <c r="M361" s="33"/>
      <c r="N361" s="33"/>
      <c r="O361" s="33"/>
    </row>
    <row r="362" spans="4:15">
      <c r="D362" s="33"/>
      <c r="E362" s="33"/>
      <c r="F362" s="33"/>
      <c r="G362" s="33"/>
      <c r="H362" s="33"/>
      <c r="I362" s="33"/>
      <c r="J362" s="33"/>
      <c r="K362" s="33"/>
      <c r="L362" s="33"/>
      <c r="M362" s="33"/>
      <c r="N362" s="33"/>
      <c r="O362" s="33"/>
    </row>
    <row r="363" spans="4:15">
      <c r="D363" s="33"/>
      <c r="E363" s="33"/>
      <c r="F363" s="33"/>
      <c r="G363" s="33"/>
      <c r="H363" s="33"/>
      <c r="I363" s="33"/>
      <c r="J363" s="33"/>
      <c r="K363" s="33"/>
      <c r="L363" s="33"/>
      <c r="M363" s="33"/>
      <c r="N363" s="33"/>
      <c r="O363" s="33"/>
    </row>
    <row r="364" spans="4:15">
      <c r="D364" s="33"/>
      <c r="E364" s="33"/>
      <c r="F364" s="33"/>
      <c r="G364" s="33"/>
      <c r="H364" s="33"/>
      <c r="I364" s="33"/>
      <c r="J364" s="33"/>
      <c r="K364" s="33"/>
      <c r="L364" s="33"/>
      <c r="M364" s="33"/>
      <c r="N364" s="33"/>
      <c r="O364" s="33"/>
    </row>
    <row r="365" spans="4:15">
      <c r="D365" s="33"/>
      <c r="E365" s="33"/>
      <c r="F365" s="33"/>
      <c r="G365" s="33"/>
      <c r="H365" s="33"/>
      <c r="I365" s="33"/>
      <c r="J365" s="33"/>
      <c r="K365" s="33"/>
      <c r="L365" s="33"/>
      <c r="M365" s="33"/>
      <c r="N365" s="33"/>
      <c r="O365" s="33"/>
    </row>
    <row r="366" spans="4:15">
      <c r="D366" s="33"/>
      <c r="E366" s="33"/>
      <c r="F366" s="33"/>
      <c r="G366" s="33"/>
      <c r="H366" s="33"/>
      <c r="I366" s="33"/>
      <c r="J366" s="33"/>
      <c r="K366" s="33"/>
      <c r="L366" s="33"/>
      <c r="M366" s="33"/>
      <c r="N366" s="33"/>
      <c r="O366" s="33"/>
    </row>
    <row r="367" spans="4:15">
      <c r="D367" s="33"/>
      <c r="E367" s="33"/>
      <c r="F367" s="33"/>
      <c r="G367" s="33"/>
      <c r="H367" s="33"/>
      <c r="I367" s="33"/>
      <c r="J367" s="33"/>
      <c r="K367" s="33"/>
      <c r="L367" s="33"/>
      <c r="M367" s="33"/>
      <c r="N367" s="33"/>
      <c r="O367" s="33"/>
    </row>
    <row r="368" spans="4:15">
      <c r="D368" s="33"/>
      <c r="E368" s="33"/>
      <c r="F368" s="33"/>
      <c r="G368" s="33"/>
      <c r="H368" s="33"/>
      <c r="I368" s="33"/>
      <c r="J368" s="33"/>
      <c r="K368" s="33"/>
      <c r="L368" s="33"/>
      <c r="M368" s="33"/>
      <c r="N368" s="33"/>
      <c r="O368" s="33"/>
    </row>
    <row r="369" spans="4:15">
      <c r="D369" s="33"/>
      <c r="E369" s="33"/>
      <c r="F369" s="33"/>
      <c r="G369" s="33"/>
      <c r="H369" s="33"/>
      <c r="I369" s="33"/>
      <c r="J369" s="33"/>
      <c r="K369" s="33"/>
      <c r="L369" s="33"/>
      <c r="M369" s="33"/>
      <c r="N369" s="33"/>
      <c r="O369" s="33"/>
    </row>
    <row r="370" spans="4:15">
      <c r="D370" s="33"/>
      <c r="E370" s="33"/>
      <c r="F370" s="33"/>
      <c r="G370" s="33"/>
      <c r="H370" s="33"/>
      <c r="I370" s="33"/>
      <c r="J370" s="33"/>
      <c r="K370" s="33"/>
      <c r="L370" s="33"/>
      <c r="M370" s="33"/>
      <c r="N370" s="33"/>
      <c r="O370" s="33"/>
    </row>
    <row r="371" spans="4:15">
      <c r="D371" s="33"/>
      <c r="E371" s="33"/>
      <c r="F371" s="33"/>
      <c r="G371" s="33"/>
      <c r="H371" s="33"/>
      <c r="I371" s="33"/>
      <c r="J371" s="33"/>
      <c r="K371" s="33"/>
      <c r="L371" s="33"/>
      <c r="M371" s="33"/>
      <c r="N371" s="33"/>
      <c r="O371" s="33"/>
    </row>
    <row r="372" spans="4:15">
      <c r="D372" s="33"/>
      <c r="E372" s="33"/>
      <c r="F372" s="33"/>
      <c r="G372" s="33"/>
      <c r="H372" s="33"/>
      <c r="I372" s="33"/>
      <c r="J372" s="33"/>
      <c r="K372" s="33"/>
      <c r="L372" s="33"/>
      <c r="M372" s="33"/>
      <c r="N372" s="33"/>
      <c r="O372" s="33"/>
    </row>
    <row r="373" spans="4:15">
      <c r="D373" s="33"/>
      <c r="E373" s="33"/>
      <c r="F373" s="33"/>
      <c r="G373" s="33"/>
      <c r="H373" s="33"/>
      <c r="I373" s="33"/>
      <c r="J373" s="33"/>
      <c r="K373" s="33"/>
      <c r="L373" s="33"/>
      <c r="M373" s="33"/>
      <c r="N373" s="33"/>
      <c r="O373" s="33"/>
    </row>
    <row r="374" spans="4:15">
      <c r="D374" s="33"/>
      <c r="E374" s="33"/>
      <c r="F374" s="33"/>
      <c r="G374" s="33"/>
      <c r="H374" s="33"/>
      <c r="I374" s="33"/>
      <c r="J374" s="33"/>
      <c r="K374" s="33"/>
      <c r="L374" s="33"/>
      <c r="M374" s="33"/>
      <c r="N374" s="33"/>
      <c r="O374" s="33"/>
    </row>
    <row r="375" spans="4:15">
      <c r="D375" s="33"/>
      <c r="E375" s="33"/>
      <c r="F375" s="33"/>
      <c r="G375" s="33"/>
      <c r="H375" s="33"/>
      <c r="I375" s="33"/>
      <c r="J375" s="33"/>
      <c r="K375" s="33"/>
      <c r="L375" s="33"/>
      <c r="M375" s="33"/>
      <c r="N375" s="33"/>
      <c r="O375" s="33"/>
    </row>
    <row r="376" spans="4:15">
      <c r="D376" s="33"/>
      <c r="E376" s="33"/>
      <c r="F376" s="33"/>
      <c r="G376" s="33"/>
      <c r="H376" s="33"/>
      <c r="I376" s="33"/>
      <c r="J376" s="33"/>
      <c r="K376" s="33"/>
      <c r="L376" s="33"/>
      <c r="M376" s="33"/>
      <c r="N376" s="33"/>
      <c r="O376" s="33"/>
    </row>
    <row r="377" spans="4:15">
      <c r="D377" s="33"/>
      <c r="E377" s="33"/>
      <c r="F377" s="33"/>
      <c r="G377" s="33"/>
      <c r="H377" s="33"/>
      <c r="I377" s="33"/>
      <c r="J377" s="33"/>
      <c r="K377" s="33"/>
      <c r="L377" s="33"/>
      <c r="M377" s="33"/>
      <c r="N377" s="33"/>
      <c r="O377" s="33"/>
    </row>
    <row r="378" spans="4:15">
      <c r="D378" s="33"/>
      <c r="E378" s="33"/>
      <c r="F378" s="33"/>
      <c r="G378" s="33"/>
      <c r="H378" s="33"/>
      <c r="I378" s="33"/>
      <c r="J378" s="33"/>
      <c r="K378" s="33"/>
      <c r="L378" s="33"/>
      <c r="M378" s="33"/>
      <c r="N378" s="33"/>
      <c r="O378" s="33"/>
    </row>
    <row r="379" spans="4:15">
      <c r="D379" s="33"/>
      <c r="E379" s="33"/>
      <c r="F379" s="33"/>
      <c r="G379" s="33"/>
      <c r="H379" s="33"/>
      <c r="I379" s="33"/>
      <c r="J379" s="33"/>
      <c r="K379" s="33"/>
      <c r="L379" s="33"/>
      <c r="M379" s="33"/>
      <c r="N379" s="33"/>
      <c r="O379" s="33"/>
    </row>
    <row r="380" spans="4:15">
      <c r="D380" s="33"/>
      <c r="E380" s="33"/>
      <c r="F380" s="33"/>
      <c r="G380" s="33"/>
      <c r="H380" s="33"/>
      <c r="I380" s="33"/>
      <c r="J380" s="33"/>
      <c r="K380" s="33"/>
      <c r="L380" s="33"/>
      <c r="M380" s="33"/>
      <c r="N380" s="33"/>
      <c r="O380" s="33"/>
    </row>
    <row r="381" spans="4:15">
      <c r="D381" s="33"/>
      <c r="E381" s="33"/>
      <c r="F381" s="33"/>
      <c r="G381" s="33"/>
      <c r="H381" s="33"/>
      <c r="I381" s="33"/>
      <c r="J381" s="33"/>
      <c r="K381" s="33"/>
      <c r="L381" s="33"/>
      <c r="M381" s="33"/>
      <c r="N381" s="33"/>
      <c r="O381" s="33"/>
    </row>
    <row r="382" spans="4:15">
      <c r="D382" s="33"/>
      <c r="E382" s="33"/>
      <c r="F382" s="33"/>
      <c r="G382" s="33"/>
      <c r="H382" s="33"/>
      <c r="I382" s="33"/>
      <c r="J382" s="33"/>
      <c r="K382" s="33"/>
      <c r="L382" s="33"/>
      <c r="M382" s="33"/>
      <c r="N382" s="33"/>
      <c r="O382" s="33"/>
    </row>
    <row r="383" spans="4:15">
      <c r="D383" s="33"/>
      <c r="E383" s="33"/>
      <c r="F383" s="33"/>
      <c r="G383" s="33"/>
      <c r="H383" s="33"/>
      <c r="I383" s="33"/>
      <c r="J383" s="33"/>
      <c r="K383" s="33"/>
      <c r="L383" s="33"/>
      <c r="M383" s="33"/>
      <c r="N383" s="33"/>
      <c r="O383" s="33"/>
    </row>
    <row r="384" spans="4:15">
      <c r="D384" s="33"/>
      <c r="E384" s="33"/>
      <c r="F384" s="33"/>
      <c r="G384" s="33"/>
      <c r="H384" s="33"/>
      <c r="I384" s="33"/>
      <c r="J384" s="33"/>
      <c r="K384" s="33"/>
      <c r="L384" s="33"/>
      <c r="M384" s="33"/>
      <c r="N384" s="33"/>
      <c r="O384" s="33"/>
    </row>
    <row r="385" spans="4:15">
      <c r="D385" s="33"/>
      <c r="E385" s="33"/>
      <c r="F385" s="33"/>
      <c r="G385" s="33"/>
      <c r="H385" s="33"/>
      <c r="I385" s="33"/>
      <c r="J385" s="33"/>
      <c r="K385" s="33"/>
      <c r="L385" s="33"/>
      <c r="M385" s="33"/>
      <c r="N385" s="33"/>
      <c r="O385" s="33"/>
    </row>
    <row r="386" spans="4:15">
      <c r="D386" s="33"/>
      <c r="E386" s="33"/>
      <c r="F386" s="33"/>
      <c r="G386" s="33"/>
      <c r="H386" s="33"/>
      <c r="I386" s="33"/>
      <c r="J386" s="33"/>
      <c r="K386" s="33"/>
      <c r="L386" s="33"/>
      <c r="M386" s="33"/>
      <c r="N386" s="33"/>
      <c r="O386" s="33"/>
    </row>
    <row r="387" spans="4:15">
      <c r="D387" s="33"/>
      <c r="E387" s="33"/>
      <c r="F387" s="33"/>
      <c r="G387" s="33"/>
      <c r="H387" s="33"/>
      <c r="I387" s="33"/>
      <c r="J387" s="33"/>
      <c r="K387" s="33"/>
      <c r="L387" s="33"/>
      <c r="M387" s="33"/>
      <c r="N387" s="33"/>
      <c r="O387" s="33"/>
    </row>
    <row r="388" spans="4:15">
      <c r="D388" s="33"/>
      <c r="E388" s="33"/>
      <c r="F388" s="33"/>
      <c r="G388" s="33"/>
      <c r="H388" s="33"/>
      <c r="I388" s="33"/>
      <c r="J388" s="33"/>
      <c r="K388" s="33"/>
      <c r="L388" s="33"/>
      <c r="M388" s="33"/>
      <c r="N388" s="33"/>
      <c r="O388" s="33"/>
    </row>
    <row r="389" spans="4:15">
      <c r="D389" s="33"/>
      <c r="E389" s="33"/>
      <c r="F389" s="33"/>
      <c r="G389" s="33"/>
      <c r="H389" s="33"/>
      <c r="I389" s="33"/>
      <c r="J389" s="33"/>
      <c r="K389" s="33"/>
      <c r="L389" s="33"/>
      <c r="M389" s="33"/>
      <c r="N389" s="33"/>
      <c r="O389" s="33"/>
    </row>
    <row r="390" spans="4:15">
      <c r="D390" s="33"/>
      <c r="E390" s="33"/>
      <c r="F390" s="33"/>
      <c r="G390" s="33"/>
      <c r="H390" s="33"/>
      <c r="I390" s="33"/>
      <c r="J390" s="33"/>
      <c r="K390" s="33"/>
      <c r="L390" s="33"/>
      <c r="M390" s="33"/>
      <c r="N390" s="33"/>
      <c r="O390" s="33"/>
    </row>
    <row r="391" spans="4:15">
      <c r="D391" s="33"/>
      <c r="E391" s="33"/>
      <c r="F391" s="33"/>
      <c r="G391" s="33"/>
      <c r="H391" s="33"/>
      <c r="I391" s="33"/>
      <c r="J391" s="33"/>
      <c r="K391" s="33"/>
      <c r="L391" s="33"/>
      <c r="M391" s="33"/>
      <c r="N391" s="33"/>
      <c r="O391" s="33"/>
    </row>
    <row r="392" spans="4:15">
      <c r="D392" s="33"/>
      <c r="E392" s="33"/>
      <c r="F392" s="33"/>
      <c r="G392" s="33"/>
      <c r="H392" s="33"/>
      <c r="I392" s="33"/>
      <c r="J392" s="33"/>
      <c r="K392" s="33"/>
      <c r="L392" s="33"/>
      <c r="M392" s="33"/>
      <c r="N392" s="33"/>
      <c r="O392" s="33"/>
    </row>
    <row r="393" spans="4:15">
      <c r="D393" s="33"/>
      <c r="E393" s="33"/>
      <c r="F393" s="33"/>
      <c r="G393" s="33"/>
      <c r="H393" s="33"/>
      <c r="I393" s="33"/>
      <c r="J393" s="33"/>
      <c r="K393" s="33"/>
      <c r="L393" s="33"/>
      <c r="M393" s="33"/>
      <c r="N393" s="33"/>
      <c r="O393" s="33"/>
    </row>
    <row r="394" spans="4:15">
      <c r="D394" s="33"/>
      <c r="E394" s="33"/>
      <c r="F394" s="33"/>
      <c r="G394" s="33"/>
      <c r="H394" s="33"/>
      <c r="I394" s="33"/>
      <c r="J394" s="33"/>
      <c r="K394" s="33"/>
      <c r="L394" s="33"/>
      <c r="M394" s="33"/>
      <c r="N394" s="33"/>
      <c r="O394" s="33"/>
    </row>
    <row r="395" spans="4:15">
      <c r="D395" s="33"/>
      <c r="E395" s="33"/>
      <c r="F395" s="33"/>
      <c r="G395" s="33"/>
      <c r="H395" s="33"/>
      <c r="I395" s="33"/>
      <c r="J395" s="33"/>
      <c r="K395" s="33"/>
      <c r="L395" s="33"/>
      <c r="M395" s="33"/>
      <c r="N395" s="33"/>
      <c r="O395" s="33"/>
    </row>
    <row r="396" spans="4:15">
      <c r="D396" s="33"/>
      <c r="E396" s="33"/>
      <c r="F396" s="33"/>
      <c r="G396" s="33"/>
      <c r="H396" s="33"/>
      <c r="I396" s="33"/>
      <c r="J396" s="33"/>
      <c r="K396" s="33"/>
      <c r="L396" s="33"/>
      <c r="M396" s="33"/>
      <c r="N396" s="33"/>
      <c r="O396" s="33"/>
    </row>
    <row r="397" spans="4:15">
      <c r="D397" s="33"/>
      <c r="E397" s="33"/>
      <c r="F397" s="33"/>
      <c r="G397" s="33"/>
      <c r="H397" s="33"/>
      <c r="I397" s="33"/>
      <c r="J397" s="33"/>
      <c r="K397" s="33"/>
      <c r="L397" s="33"/>
      <c r="M397" s="33"/>
      <c r="N397" s="33"/>
      <c r="O397" s="33"/>
    </row>
    <row r="398" spans="4:15">
      <c r="D398" s="33"/>
      <c r="E398" s="33"/>
      <c r="F398" s="33"/>
      <c r="G398" s="33"/>
      <c r="H398" s="33"/>
      <c r="I398" s="33"/>
      <c r="J398" s="33"/>
      <c r="K398" s="33"/>
      <c r="L398" s="33"/>
      <c r="M398" s="33"/>
      <c r="N398" s="33"/>
      <c r="O398" s="33"/>
    </row>
    <row r="399" spans="4:15">
      <c r="D399" s="33"/>
      <c r="E399" s="33"/>
      <c r="F399" s="33"/>
      <c r="G399" s="33"/>
      <c r="H399" s="33"/>
      <c r="I399" s="33"/>
      <c r="J399" s="33"/>
      <c r="K399" s="33"/>
      <c r="L399" s="33"/>
      <c r="M399" s="33"/>
      <c r="N399" s="33"/>
      <c r="O399" s="33"/>
    </row>
    <row r="400" spans="4:15">
      <c r="D400" s="33"/>
      <c r="E400" s="33"/>
      <c r="F400" s="33"/>
      <c r="G400" s="33"/>
      <c r="H400" s="33"/>
      <c r="I400" s="33"/>
      <c r="J400" s="33"/>
      <c r="K400" s="33"/>
      <c r="L400" s="33"/>
      <c r="M400" s="33"/>
      <c r="N400" s="33"/>
      <c r="O400" s="33"/>
    </row>
    <row r="401" spans="4:15">
      <c r="D401" s="33"/>
      <c r="E401" s="33"/>
      <c r="F401" s="33"/>
      <c r="G401" s="33"/>
      <c r="H401" s="33"/>
      <c r="I401" s="33"/>
      <c r="J401" s="33"/>
      <c r="K401" s="33"/>
      <c r="L401" s="33"/>
      <c r="M401" s="33"/>
      <c r="N401" s="33"/>
      <c r="O401" s="33"/>
    </row>
    <row r="402" spans="4:15">
      <c r="D402" s="33"/>
      <c r="E402" s="33"/>
      <c r="F402" s="33"/>
      <c r="G402" s="33"/>
      <c r="H402" s="33"/>
      <c r="I402" s="33"/>
      <c r="J402" s="33"/>
      <c r="K402" s="33"/>
      <c r="L402" s="33"/>
      <c r="M402" s="33"/>
      <c r="N402" s="33"/>
      <c r="O402" s="33"/>
    </row>
    <row r="403" spans="4:15">
      <c r="D403" s="33"/>
      <c r="E403" s="33"/>
      <c r="F403" s="33"/>
      <c r="G403" s="33"/>
      <c r="H403" s="33"/>
      <c r="I403" s="33"/>
      <c r="J403" s="33"/>
      <c r="K403" s="33"/>
      <c r="L403" s="33"/>
      <c r="M403" s="33"/>
      <c r="N403" s="33"/>
      <c r="O403" s="33"/>
    </row>
    <row r="404" spans="4:15">
      <c r="D404" s="33"/>
      <c r="E404" s="33"/>
      <c r="F404" s="33"/>
      <c r="G404" s="33"/>
      <c r="H404" s="33"/>
      <c r="I404" s="33"/>
      <c r="J404" s="33"/>
      <c r="K404" s="33"/>
      <c r="L404" s="33"/>
      <c r="M404" s="33"/>
      <c r="N404" s="33"/>
      <c r="O404" s="33"/>
    </row>
    <row r="405" spans="4:15">
      <c r="D405" s="33"/>
      <c r="E405" s="33"/>
      <c r="F405" s="33"/>
      <c r="G405" s="33"/>
      <c r="H405" s="33"/>
      <c r="I405" s="33"/>
      <c r="J405" s="33"/>
      <c r="K405" s="33"/>
      <c r="L405" s="33"/>
      <c r="M405" s="33"/>
      <c r="N405" s="33"/>
      <c r="O405" s="33"/>
    </row>
    <row r="406" spans="4:15">
      <c r="D406" s="33"/>
      <c r="E406" s="33"/>
      <c r="F406" s="33"/>
      <c r="G406" s="33"/>
      <c r="H406" s="33"/>
      <c r="I406" s="33"/>
      <c r="J406" s="33"/>
      <c r="K406" s="33"/>
      <c r="L406" s="33"/>
      <c r="M406" s="33"/>
      <c r="N406" s="33"/>
      <c r="O406" s="33"/>
    </row>
    <row r="407" spans="4:15">
      <c r="D407" s="33"/>
      <c r="E407" s="33"/>
      <c r="F407" s="33"/>
      <c r="G407" s="33"/>
      <c r="H407" s="33"/>
      <c r="I407" s="33"/>
      <c r="J407" s="33"/>
      <c r="K407" s="33"/>
      <c r="L407" s="33"/>
      <c r="M407" s="33"/>
      <c r="N407" s="33"/>
      <c r="O407" s="33"/>
    </row>
    <row r="408" spans="4:15">
      <c r="D408" s="33"/>
      <c r="E408" s="33"/>
      <c r="F408" s="33"/>
      <c r="G408" s="33"/>
      <c r="H408" s="33"/>
      <c r="I408" s="33"/>
      <c r="J408" s="33"/>
      <c r="K408" s="33"/>
      <c r="L408" s="33"/>
      <c r="M408" s="33"/>
      <c r="N408" s="33"/>
      <c r="O408" s="33"/>
    </row>
    <row r="409" spans="4:15">
      <c r="D409" s="33"/>
      <c r="E409" s="33"/>
      <c r="F409" s="33"/>
      <c r="G409" s="33"/>
      <c r="H409" s="33"/>
      <c r="I409" s="33"/>
      <c r="J409" s="33"/>
      <c r="K409" s="33"/>
      <c r="L409" s="33"/>
      <c r="M409" s="33"/>
      <c r="N409" s="33"/>
      <c r="O409" s="33"/>
    </row>
    <row r="410" spans="4:15">
      <c r="D410" s="33"/>
      <c r="E410" s="33"/>
      <c r="F410" s="33"/>
      <c r="G410" s="33"/>
      <c r="H410" s="33"/>
      <c r="I410" s="33"/>
      <c r="J410" s="33"/>
      <c r="K410" s="33"/>
      <c r="L410" s="33"/>
      <c r="M410" s="33"/>
      <c r="N410" s="33"/>
      <c r="O410" s="33"/>
    </row>
    <row r="411" spans="4:15">
      <c r="D411" s="33"/>
      <c r="E411" s="33"/>
      <c r="F411" s="33"/>
      <c r="G411" s="33"/>
      <c r="H411" s="33"/>
      <c r="I411" s="33"/>
      <c r="J411" s="33"/>
      <c r="K411" s="33"/>
      <c r="L411" s="33"/>
      <c r="M411" s="33"/>
      <c r="N411" s="33"/>
      <c r="O411" s="33"/>
    </row>
    <row r="412" spans="4:15">
      <c r="D412" s="33"/>
      <c r="E412" s="33"/>
      <c r="F412" s="33"/>
      <c r="G412" s="33"/>
      <c r="H412" s="33"/>
      <c r="I412" s="33"/>
      <c r="J412" s="33"/>
      <c r="K412" s="33"/>
      <c r="L412" s="33"/>
      <c r="M412" s="33"/>
      <c r="N412" s="33"/>
      <c r="O412" s="33"/>
    </row>
    <row r="413" spans="4:15">
      <c r="D413" s="33"/>
      <c r="E413" s="33"/>
      <c r="F413" s="33"/>
      <c r="G413" s="33"/>
      <c r="H413" s="33"/>
      <c r="I413" s="33"/>
      <c r="J413" s="33"/>
      <c r="K413" s="33"/>
      <c r="L413" s="33"/>
      <c r="M413" s="33"/>
      <c r="N413" s="33"/>
      <c r="O413" s="33"/>
    </row>
    <row r="414" spans="4:15">
      <c r="D414" s="33"/>
      <c r="E414" s="33"/>
      <c r="F414" s="33"/>
      <c r="G414" s="33"/>
      <c r="H414" s="33"/>
      <c r="I414" s="33"/>
      <c r="J414" s="33"/>
      <c r="K414" s="33"/>
      <c r="L414" s="33"/>
      <c r="M414" s="33"/>
      <c r="N414" s="33"/>
      <c r="O414" s="33"/>
    </row>
    <row r="415" spans="4:15">
      <c r="D415" s="33"/>
      <c r="E415" s="33"/>
      <c r="F415" s="33"/>
      <c r="G415" s="33"/>
      <c r="H415" s="33"/>
      <c r="I415" s="33"/>
      <c r="J415" s="33"/>
      <c r="K415" s="33"/>
      <c r="L415" s="33"/>
      <c r="M415" s="33"/>
      <c r="N415" s="33"/>
      <c r="O415" s="33"/>
    </row>
    <row r="416" spans="4:15">
      <c r="D416" s="33"/>
      <c r="E416" s="33"/>
      <c r="F416" s="33"/>
      <c r="G416" s="33"/>
      <c r="H416" s="33"/>
      <c r="I416" s="33"/>
      <c r="J416" s="33"/>
      <c r="K416" s="33"/>
      <c r="L416" s="33"/>
      <c r="M416" s="33"/>
      <c r="N416" s="33"/>
      <c r="O416" s="33"/>
    </row>
    <row r="417" spans="4:15">
      <c r="D417" s="33"/>
      <c r="E417" s="33"/>
      <c r="F417" s="33"/>
      <c r="G417" s="33"/>
      <c r="H417" s="33"/>
      <c r="I417" s="33"/>
      <c r="J417" s="33"/>
      <c r="K417" s="33"/>
      <c r="L417" s="33"/>
      <c r="M417" s="33"/>
      <c r="N417" s="33"/>
      <c r="O417" s="33"/>
    </row>
    <row r="418" spans="4:15">
      <c r="D418" s="33"/>
      <c r="E418" s="33"/>
      <c r="F418" s="33"/>
      <c r="G418" s="33"/>
      <c r="H418" s="33"/>
      <c r="I418" s="33"/>
      <c r="J418" s="33"/>
      <c r="K418" s="33"/>
      <c r="L418" s="33"/>
      <c r="M418" s="33"/>
      <c r="N418" s="33"/>
      <c r="O418" s="33"/>
    </row>
    <row r="419" spans="4:15">
      <c r="D419" s="33"/>
      <c r="E419" s="33"/>
      <c r="F419" s="33"/>
      <c r="G419" s="33"/>
      <c r="H419" s="33"/>
      <c r="I419" s="33"/>
      <c r="J419" s="33"/>
      <c r="K419" s="33"/>
      <c r="L419" s="33"/>
      <c r="M419" s="33"/>
      <c r="N419" s="33"/>
      <c r="O419" s="33"/>
    </row>
    <row r="420" spans="4:15">
      <c r="D420" s="33"/>
      <c r="E420" s="33"/>
      <c r="F420" s="33"/>
      <c r="G420" s="33"/>
      <c r="H420" s="33"/>
      <c r="I420" s="33"/>
      <c r="J420" s="33"/>
      <c r="K420" s="33"/>
      <c r="L420" s="33"/>
      <c r="M420" s="33"/>
      <c r="N420" s="33"/>
      <c r="O420" s="33"/>
    </row>
    <row r="421" spans="4:15">
      <c r="D421" s="33"/>
      <c r="E421" s="33"/>
      <c r="F421" s="33"/>
      <c r="G421" s="33"/>
      <c r="H421" s="33"/>
      <c r="I421" s="33"/>
      <c r="J421" s="33"/>
      <c r="K421" s="33"/>
      <c r="L421" s="33"/>
      <c r="M421" s="33"/>
      <c r="N421" s="33"/>
      <c r="O421" s="33"/>
    </row>
    <row r="422" spans="4:15">
      <c r="D422" s="33"/>
      <c r="E422" s="33"/>
      <c r="F422" s="33"/>
      <c r="G422" s="33"/>
      <c r="H422" s="33"/>
      <c r="I422" s="33"/>
      <c r="J422" s="33"/>
      <c r="K422" s="33"/>
      <c r="L422" s="33"/>
      <c r="M422" s="33"/>
      <c r="N422" s="33"/>
      <c r="O422" s="33"/>
    </row>
    <row r="423" spans="4:15">
      <c r="D423" s="33"/>
      <c r="E423" s="33"/>
      <c r="F423" s="33"/>
      <c r="G423" s="33"/>
      <c r="H423" s="33"/>
      <c r="I423" s="33"/>
      <c r="J423" s="33"/>
      <c r="K423" s="33"/>
      <c r="L423" s="33"/>
      <c r="M423" s="33"/>
      <c r="N423" s="33"/>
      <c r="O423" s="33"/>
    </row>
    <row r="424" spans="4:15">
      <c r="D424" s="33"/>
      <c r="E424" s="33"/>
      <c r="F424" s="33"/>
      <c r="G424" s="33"/>
      <c r="H424" s="33"/>
      <c r="I424" s="33"/>
      <c r="J424" s="33"/>
      <c r="K424" s="33"/>
      <c r="L424" s="33"/>
      <c r="M424" s="33"/>
      <c r="N424" s="33"/>
      <c r="O424" s="33"/>
    </row>
    <row r="425" spans="4:15">
      <c r="D425" s="33"/>
      <c r="E425" s="33"/>
      <c r="F425" s="33"/>
      <c r="G425" s="33"/>
      <c r="H425" s="33"/>
      <c r="I425" s="33"/>
      <c r="J425" s="33"/>
      <c r="K425" s="33"/>
      <c r="L425" s="33"/>
      <c r="M425" s="33"/>
      <c r="N425" s="33"/>
      <c r="O425" s="33"/>
    </row>
    <row r="426" spans="4:15">
      <c r="D426" s="33"/>
      <c r="E426" s="33"/>
      <c r="F426" s="33"/>
      <c r="G426" s="33"/>
      <c r="H426" s="33"/>
      <c r="I426" s="33"/>
      <c r="J426" s="33"/>
      <c r="K426" s="33"/>
      <c r="L426" s="33"/>
      <c r="M426" s="33"/>
      <c r="N426" s="33"/>
      <c r="O426" s="33"/>
    </row>
    <row r="427" spans="4:15">
      <c r="D427" s="33"/>
      <c r="E427" s="33"/>
      <c r="F427" s="33"/>
      <c r="G427" s="33"/>
      <c r="H427" s="33"/>
      <c r="I427" s="33"/>
      <c r="J427" s="33"/>
      <c r="K427" s="33"/>
      <c r="L427" s="33"/>
      <c r="M427" s="33"/>
      <c r="N427" s="33"/>
      <c r="O427" s="33"/>
    </row>
    <row r="428" spans="4:15">
      <c r="D428" s="33"/>
      <c r="E428" s="33"/>
      <c r="F428" s="33"/>
      <c r="G428" s="33"/>
      <c r="H428" s="33"/>
      <c r="I428" s="33"/>
      <c r="J428" s="33"/>
      <c r="K428" s="33"/>
      <c r="L428" s="33"/>
      <c r="M428" s="33"/>
      <c r="N428" s="33"/>
      <c r="O428" s="33"/>
    </row>
    <row r="429" spans="4:15">
      <c r="D429" s="33"/>
      <c r="E429" s="33"/>
      <c r="F429" s="33"/>
      <c r="G429" s="33"/>
      <c r="H429" s="33"/>
      <c r="I429" s="33"/>
      <c r="J429" s="33"/>
      <c r="K429" s="33"/>
      <c r="L429" s="33"/>
      <c r="M429" s="33"/>
      <c r="N429" s="33"/>
      <c r="O429" s="33"/>
    </row>
    <row r="430" spans="4:15">
      <c r="D430" s="33"/>
      <c r="E430" s="33"/>
      <c r="F430" s="33"/>
      <c r="G430" s="33"/>
      <c r="H430" s="33"/>
      <c r="I430" s="33"/>
      <c r="J430" s="33"/>
      <c r="K430" s="33"/>
      <c r="L430" s="33"/>
      <c r="M430" s="33"/>
      <c r="N430" s="33"/>
      <c r="O430" s="33"/>
    </row>
    <row r="431" spans="4:15">
      <c r="D431" s="33"/>
      <c r="E431" s="33"/>
      <c r="F431" s="33"/>
      <c r="G431" s="33"/>
      <c r="H431" s="33"/>
      <c r="I431" s="33"/>
      <c r="J431" s="33"/>
      <c r="K431" s="33"/>
      <c r="L431" s="33"/>
      <c r="M431" s="33"/>
      <c r="N431" s="33"/>
      <c r="O431" s="33"/>
    </row>
    <row r="432" spans="4:15">
      <c r="D432" s="33"/>
      <c r="E432" s="33"/>
      <c r="F432" s="33"/>
      <c r="G432" s="33"/>
      <c r="H432" s="33"/>
      <c r="I432" s="33"/>
      <c r="J432" s="33"/>
      <c r="K432" s="33"/>
      <c r="L432" s="33"/>
      <c r="M432" s="33"/>
      <c r="N432" s="33"/>
      <c r="O432" s="33"/>
    </row>
    <row r="433" spans="4:15">
      <c r="D433" s="33"/>
      <c r="E433" s="33"/>
      <c r="F433" s="33"/>
      <c r="G433" s="33"/>
      <c r="H433" s="33"/>
      <c r="I433" s="33"/>
      <c r="J433" s="33"/>
      <c r="K433" s="33"/>
      <c r="L433" s="33"/>
      <c r="M433" s="33"/>
      <c r="N433" s="33"/>
      <c r="O433" s="33"/>
    </row>
    <row r="434" spans="4:15">
      <c r="D434" s="33"/>
      <c r="E434" s="33"/>
      <c r="F434" s="33"/>
      <c r="G434" s="33"/>
      <c r="H434" s="33"/>
      <c r="I434" s="33"/>
      <c r="J434" s="33"/>
      <c r="K434" s="33"/>
      <c r="L434" s="33"/>
      <c r="M434" s="33"/>
      <c r="N434" s="33"/>
      <c r="O434" s="33"/>
    </row>
    <row r="435" spans="4:15">
      <c r="D435" s="33"/>
      <c r="E435" s="33"/>
      <c r="F435" s="33"/>
      <c r="G435" s="33"/>
      <c r="H435" s="33"/>
      <c r="I435" s="33"/>
      <c r="J435" s="33"/>
      <c r="K435" s="33"/>
      <c r="L435" s="33"/>
      <c r="M435" s="33"/>
      <c r="N435" s="33"/>
      <c r="O435" s="33"/>
    </row>
    <row r="436" spans="4:15">
      <c r="D436" s="33"/>
      <c r="E436" s="33"/>
      <c r="F436" s="33"/>
      <c r="G436" s="33"/>
      <c r="H436" s="33"/>
      <c r="I436" s="33"/>
      <c r="J436" s="33"/>
      <c r="K436" s="33"/>
      <c r="L436" s="33"/>
      <c r="M436" s="33"/>
      <c r="N436" s="33"/>
      <c r="O436" s="33"/>
    </row>
    <row r="437" spans="4:15">
      <c r="D437" s="33"/>
      <c r="E437" s="33"/>
      <c r="F437" s="33"/>
      <c r="G437" s="33"/>
      <c r="H437" s="33"/>
      <c r="I437" s="33"/>
      <c r="J437" s="33"/>
      <c r="K437" s="33"/>
      <c r="L437" s="33"/>
      <c r="M437" s="33"/>
      <c r="N437" s="33"/>
      <c r="O437" s="33"/>
    </row>
    <row r="438" spans="4:15">
      <c r="D438" s="33"/>
      <c r="E438" s="33"/>
      <c r="F438" s="33"/>
      <c r="G438" s="33"/>
      <c r="H438" s="33"/>
      <c r="I438" s="33"/>
      <c r="J438" s="33"/>
      <c r="K438" s="33"/>
      <c r="L438" s="33"/>
      <c r="M438" s="33"/>
      <c r="N438" s="33"/>
      <c r="O438" s="33"/>
    </row>
    <row r="439" spans="4:15">
      <c r="D439" s="33"/>
      <c r="E439" s="33"/>
      <c r="F439" s="33"/>
      <c r="G439" s="33"/>
      <c r="H439" s="33"/>
      <c r="I439" s="33"/>
      <c r="J439" s="33"/>
      <c r="K439" s="33"/>
      <c r="L439" s="33"/>
      <c r="M439" s="33"/>
      <c r="N439" s="33"/>
      <c r="O439" s="33"/>
    </row>
    <row r="440" spans="4:15">
      <c r="D440" s="33"/>
      <c r="E440" s="33"/>
      <c r="F440" s="33"/>
      <c r="G440" s="33"/>
      <c r="H440" s="33"/>
      <c r="I440" s="33"/>
      <c r="J440" s="33"/>
      <c r="K440" s="33"/>
      <c r="L440" s="33"/>
      <c r="M440" s="33"/>
      <c r="N440" s="33"/>
      <c r="O440" s="33"/>
    </row>
    <row r="441" spans="4:15">
      <c r="D441" s="33"/>
      <c r="E441" s="33"/>
      <c r="F441" s="33"/>
      <c r="G441" s="33"/>
      <c r="H441" s="33"/>
      <c r="I441" s="33"/>
      <c r="J441" s="33"/>
      <c r="K441" s="33"/>
      <c r="L441" s="33"/>
      <c r="M441" s="33"/>
      <c r="N441" s="33"/>
      <c r="O441" s="33"/>
    </row>
    <row r="442" spans="4:15">
      <c r="D442" s="33"/>
      <c r="E442" s="33"/>
      <c r="F442" s="33"/>
      <c r="G442" s="33"/>
      <c r="H442" s="33"/>
      <c r="I442" s="33"/>
      <c r="J442" s="33"/>
      <c r="K442" s="33"/>
      <c r="L442" s="33"/>
      <c r="M442" s="33"/>
      <c r="N442" s="33"/>
      <c r="O442" s="33"/>
    </row>
    <row r="443" spans="4:15">
      <c r="D443" s="33"/>
      <c r="E443" s="33"/>
      <c r="F443" s="33"/>
      <c r="G443" s="33"/>
      <c r="H443" s="33"/>
      <c r="I443" s="33"/>
      <c r="J443" s="33"/>
      <c r="K443" s="33"/>
      <c r="L443" s="33"/>
      <c r="M443" s="33"/>
      <c r="N443" s="33"/>
      <c r="O443" s="33"/>
    </row>
    <row r="444" spans="4:15">
      <c r="D444" s="33"/>
      <c r="E444" s="33"/>
      <c r="F444" s="33"/>
      <c r="G444" s="33"/>
      <c r="H444" s="33"/>
      <c r="I444" s="33"/>
      <c r="J444" s="33"/>
      <c r="K444" s="33"/>
      <c r="L444" s="33"/>
      <c r="M444" s="33"/>
      <c r="N444" s="33"/>
      <c r="O444" s="33"/>
    </row>
    <row r="445" spans="4:15">
      <c r="D445" s="33"/>
      <c r="E445" s="33"/>
      <c r="F445" s="33"/>
      <c r="G445" s="33"/>
      <c r="H445" s="33"/>
      <c r="I445" s="33"/>
      <c r="J445" s="33"/>
      <c r="K445" s="33"/>
      <c r="L445" s="33"/>
      <c r="M445" s="33"/>
      <c r="N445" s="33"/>
      <c r="O445" s="33"/>
    </row>
    <row r="446" spans="4:15">
      <c r="D446" s="33"/>
      <c r="E446" s="33"/>
      <c r="F446" s="33"/>
      <c r="G446" s="33"/>
      <c r="H446" s="33"/>
      <c r="I446" s="33"/>
      <c r="J446" s="33"/>
      <c r="K446" s="33"/>
      <c r="L446" s="33"/>
      <c r="M446" s="33"/>
      <c r="N446" s="33"/>
      <c r="O446" s="33"/>
    </row>
    <row r="447" spans="4:15">
      <c r="D447" s="33"/>
      <c r="E447" s="33"/>
      <c r="F447" s="33"/>
      <c r="G447" s="33"/>
      <c r="H447" s="33"/>
      <c r="I447" s="33"/>
      <c r="J447" s="33"/>
      <c r="K447" s="33"/>
      <c r="L447" s="33"/>
      <c r="M447" s="33"/>
      <c r="N447" s="33"/>
      <c r="O447" s="33"/>
    </row>
    <row r="448" spans="4:15">
      <c r="D448" s="33"/>
      <c r="E448" s="33"/>
      <c r="F448" s="33"/>
      <c r="G448" s="33"/>
      <c r="H448" s="33"/>
      <c r="I448" s="33"/>
      <c r="J448" s="33"/>
      <c r="K448" s="33"/>
      <c r="L448" s="33"/>
      <c r="M448" s="33"/>
      <c r="N448" s="33"/>
      <c r="O448" s="33"/>
    </row>
    <row r="449" spans="4:15">
      <c r="D449" s="33"/>
      <c r="E449" s="33"/>
      <c r="F449" s="33"/>
      <c r="G449" s="33"/>
      <c r="H449" s="33"/>
      <c r="I449" s="33"/>
      <c r="J449" s="33"/>
      <c r="K449" s="33"/>
      <c r="L449" s="33"/>
      <c r="M449" s="33"/>
      <c r="N449" s="33"/>
      <c r="O449" s="33"/>
    </row>
    <row r="450" spans="4:15">
      <c r="D450" s="33"/>
      <c r="E450" s="33"/>
      <c r="F450" s="33"/>
      <c r="G450" s="33"/>
      <c r="H450" s="33"/>
      <c r="I450" s="33"/>
      <c r="J450" s="33"/>
      <c r="K450" s="33"/>
      <c r="L450" s="33"/>
      <c r="M450" s="33"/>
      <c r="N450" s="33"/>
      <c r="O450" s="33"/>
    </row>
    <row r="451" spans="4:15">
      <c r="D451" s="33"/>
      <c r="E451" s="33"/>
      <c r="F451" s="33"/>
      <c r="G451" s="33"/>
      <c r="H451" s="33"/>
      <c r="I451" s="33"/>
      <c r="J451" s="33"/>
      <c r="K451" s="33"/>
      <c r="L451" s="33"/>
      <c r="M451" s="33"/>
      <c r="N451" s="33"/>
      <c r="O451" s="33"/>
    </row>
    <row r="452" spans="4:15">
      <c r="D452" s="33"/>
      <c r="E452" s="33"/>
      <c r="F452" s="33"/>
      <c r="G452" s="33"/>
      <c r="H452" s="33"/>
      <c r="I452" s="33"/>
      <c r="J452" s="33"/>
      <c r="K452" s="33"/>
      <c r="L452" s="33"/>
      <c r="M452" s="33"/>
      <c r="N452" s="33"/>
      <c r="O452" s="33"/>
    </row>
    <row r="453" spans="4:15">
      <c r="D453" s="33"/>
      <c r="E453" s="33"/>
      <c r="F453" s="33"/>
      <c r="G453" s="33"/>
      <c r="H453" s="33"/>
      <c r="I453" s="33"/>
      <c r="J453" s="33"/>
      <c r="K453" s="33"/>
      <c r="L453" s="33"/>
      <c r="M453" s="33"/>
      <c r="N453" s="33"/>
      <c r="O453" s="33"/>
    </row>
    <row r="454" spans="4:15">
      <c r="D454" s="33"/>
      <c r="E454" s="33"/>
      <c r="F454" s="33"/>
      <c r="G454" s="33"/>
      <c r="H454" s="33"/>
      <c r="I454" s="33"/>
      <c r="J454" s="33"/>
      <c r="K454" s="33"/>
      <c r="L454" s="33"/>
      <c r="M454" s="33"/>
      <c r="N454" s="33"/>
      <c r="O454" s="33"/>
    </row>
    <row r="455" spans="4:15">
      <c r="D455" s="33"/>
      <c r="E455" s="33"/>
      <c r="F455" s="33"/>
      <c r="G455" s="33"/>
      <c r="H455" s="33"/>
      <c r="I455" s="33"/>
      <c r="J455" s="33"/>
      <c r="K455" s="33"/>
      <c r="L455" s="33"/>
      <c r="M455" s="33"/>
      <c r="N455" s="33"/>
      <c r="O455" s="33"/>
    </row>
    <row r="456" spans="4:15">
      <c r="D456" s="33"/>
      <c r="E456" s="33"/>
      <c r="F456" s="33"/>
      <c r="G456" s="33"/>
      <c r="H456" s="33"/>
      <c r="I456" s="33"/>
      <c r="J456" s="33"/>
      <c r="K456" s="33"/>
      <c r="L456" s="33"/>
      <c r="M456" s="33"/>
      <c r="N456" s="33"/>
      <c r="O456" s="33"/>
    </row>
    <row r="457" spans="4:15">
      <c r="D457" s="33"/>
      <c r="E457" s="33"/>
      <c r="F457" s="33"/>
      <c r="G457" s="33"/>
      <c r="H457" s="33"/>
      <c r="I457" s="33"/>
      <c r="J457" s="33"/>
      <c r="K457" s="33"/>
      <c r="L457" s="33"/>
      <c r="M457" s="33"/>
      <c r="N457" s="33"/>
      <c r="O457" s="33"/>
    </row>
    <row r="458" spans="4:15">
      <c r="D458" s="33"/>
      <c r="E458" s="33"/>
      <c r="F458" s="33"/>
      <c r="G458" s="33"/>
      <c r="H458" s="33"/>
      <c r="I458" s="33"/>
      <c r="J458" s="33"/>
      <c r="K458" s="33"/>
      <c r="L458" s="33"/>
      <c r="M458" s="33"/>
      <c r="N458" s="33"/>
      <c r="O458" s="33"/>
    </row>
    <row r="459" spans="4:15">
      <c r="D459" s="33"/>
      <c r="E459" s="33"/>
      <c r="F459" s="33"/>
      <c r="G459" s="33"/>
      <c r="H459" s="33"/>
      <c r="I459" s="33"/>
      <c r="J459" s="33"/>
      <c r="K459" s="33"/>
      <c r="L459" s="33"/>
      <c r="M459" s="33"/>
      <c r="N459" s="33"/>
      <c r="O459" s="33"/>
    </row>
    <row r="460" spans="4:15">
      <c r="D460" s="33"/>
      <c r="E460" s="33"/>
      <c r="F460" s="33"/>
      <c r="G460" s="33"/>
      <c r="H460" s="33"/>
      <c r="I460" s="33"/>
      <c r="J460" s="33"/>
      <c r="K460" s="33"/>
      <c r="L460" s="33"/>
      <c r="M460" s="33"/>
      <c r="N460" s="33"/>
      <c r="O460" s="33"/>
    </row>
    <row r="461" spans="4:15">
      <c r="D461" s="33"/>
      <c r="E461" s="33"/>
      <c r="F461" s="33"/>
      <c r="G461" s="33"/>
      <c r="H461" s="33"/>
      <c r="I461" s="33"/>
      <c r="J461" s="33"/>
      <c r="K461" s="33"/>
      <c r="L461" s="33"/>
      <c r="M461" s="33"/>
      <c r="N461" s="33"/>
      <c r="O461" s="33"/>
    </row>
    <row r="462" spans="4:15">
      <c r="D462" s="33"/>
      <c r="E462" s="33"/>
      <c r="F462" s="33"/>
      <c r="G462" s="33"/>
      <c r="H462" s="33"/>
      <c r="I462" s="33"/>
      <c r="J462" s="33"/>
      <c r="K462" s="33"/>
      <c r="L462" s="33"/>
      <c r="M462" s="33"/>
      <c r="N462" s="33"/>
      <c r="O462" s="33"/>
    </row>
    <row r="463" spans="4:15">
      <c r="D463" s="33"/>
      <c r="E463" s="33"/>
      <c r="F463" s="33"/>
      <c r="G463" s="33"/>
      <c r="H463" s="33"/>
      <c r="I463" s="33"/>
      <c r="J463" s="33"/>
      <c r="K463" s="33"/>
      <c r="L463" s="33"/>
      <c r="M463" s="33"/>
      <c r="N463" s="33"/>
      <c r="O463" s="33"/>
    </row>
    <row r="464" spans="4:15">
      <c r="D464" s="33"/>
      <c r="E464" s="33"/>
      <c r="F464" s="33"/>
      <c r="G464" s="33"/>
      <c r="H464" s="33"/>
      <c r="I464" s="33"/>
      <c r="J464" s="33"/>
      <c r="K464" s="33"/>
      <c r="L464" s="33"/>
      <c r="M464" s="33"/>
      <c r="N464" s="33"/>
      <c r="O464" s="33"/>
    </row>
    <row r="465" spans="4:15">
      <c r="D465" s="33"/>
      <c r="E465" s="33"/>
      <c r="F465" s="33"/>
      <c r="G465" s="33"/>
      <c r="H465" s="33"/>
      <c r="I465" s="33"/>
      <c r="J465" s="33"/>
      <c r="K465" s="33"/>
      <c r="L465" s="33"/>
      <c r="M465" s="33"/>
      <c r="N465" s="33"/>
      <c r="O465" s="33"/>
    </row>
    <row r="466" spans="4:15">
      <c r="D466" s="33"/>
      <c r="E466" s="33"/>
      <c r="F466" s="33"/>
      <c r="G466" s="33"/>
      <c r="H466" s="33"/>
      <c r="I466" s="33"/>
      <c r="J466" s="33"/>
      <c r="K466" s="33"/>
      <c r="L466" s="33"/>
      <c r="M466" s="33"/>
      <c r="N466" s="33"/>
      <c r="O466" s="33"/>
    </row>
    <row r="467" spans="4:15">
      <c r="D467" s="33"/>
      <c r="E467" s="33"/>
      <c r="F467" s="33"/>
      <c r="G467" s="33"/>
      <c r="H467" s="33"/>
      <c r="I467" s="33"/>
      <c r="J467" s="33"/>
      <c r="K467" s="33"/>
      <c r="L467" s="33"/>
      <c r="M467" s="33"/>
      <c r="N467" s="33"/>
      <c r="O467" s="33"/>
    </row>
    <row r="468" spans="4:15">
      <c r="D468" s="33"/>
      <c r="E468" s="33"/>
      <c r="F468" s="33"/>
      <c r="G468" s="33"/>
      <c r="H468" s="33"/>
      <c r="I468" s="33"/>
      <c r="J468" s="33"/>
      <c r="K468" s="33"/>
      <c r="L468" s="33"/>
      <c r="M468" s="33"/>
      <c r="N468" s="33"/>
      <c r="O468" s="33"/>
    </row>
    <row r="469" spans="4:15">
      <c r="D469" s="33"/>
      <c r="E469" s="33"/>
      <c r="F469" s="33"/>
      <c r="G469" s="33"/>
      <c r="H469" s="33"/>
      <c r="I469" s="33"/>
      <c r="J469" s="33"/>
      <c r="K469" s="33"/>
      <c r="L469" s="33"/>
      <c r="M469" s="33"/>
      <c r="N469" s="33"/>
      <c r="O469" s="33"/>
    </row>
    <row r="470" spans="4:15">
      <c r="D470" s="33"/>
      <c r="E470" s="33"/>
      <c r="F470" s="33"/>
      <c r="G470" s="33"/>
      <c r="H470" s="33"/>
      <c r="I470" s="33"/>
      <c r="J470" s="33"/>
      <c r="K470" s="33"/>
      <c r="L470" s="33"/>
      <c r="M470" s="33"/>
      <c r="N470" s="33"/>
      <c r="O470" s="33"/>
    </row>
    <row r="471" spans="4:15">
      <c r="D471" s="33"/>
      <c r="E471" s="33"/>
      <c r="F471" s="33"/>
      <c r="G471" s="33"/>
      <c r="H471" s="33"/>
      <c r="I471" s="33"/>
      <c r="J471" s="33"/>
      <c r="K471" s="33"/>
      <c r="L471" s="33"/>
      <c r="M471" s="33"/>
      <c r="N471" s="33"/>
      <c r="O471" s="33"/>
    </row>
    <row r="472" spans="4:15">
      <c r="D472" s="33"/>
      <c r="E472" s="33"/>
      <c r="F472" s="33"/>
      <c r="G472" s="33"/>
      <c r="H472" s="33"/>
      <c r="I472" s="33"/>
      <c r="J472" s="33"/>
      <c r="K472" s="33"/>
      <c r="L472" s="33"/>
      <c r="M472" s="33"/>
      <c r="N472" s="33"/>
      <c r="O472" s="33"/>
    </row>
    <row r="473" spans="4:15">
      <c r="D473" s="33"/>
      <c r="E473" s="33"/>
      <c r="F473" s="33"/>
      <c r="G473" s="33"/>
      <c r="H473" s="33"/>
      <c r="I473" s="33"/>
      <c r="J473" s="33"/>
      <c r="K473" s="33"/>
      <c r="L473" s="33"/>
      <c r="M473" s="33"/>
      <c r="N473" s="33"/>
      <c r="O473" s="33"/>
    </row>
    <row r="474" spans="4:15">
      <c r="D474" s="33"/>
      <c r="E474" s="33"/>
      <c r="F474" s="33"/>
      <c r="G474" s="33"/>
      <c r="H474" s="33"/>
      <c r="I474" s="33"/>
      <c r="J474" s="33"/>
      <c r="K474" s="33"/>
      <c r="L474" s="33"/>
      <c r="M474" s="33"/>
      <c r="N474" s="33"/>
      <c r="O474" s="33"/>
    </row>
    <row r="475" spans="4:15">
      <c r="D475" s="33"/>
      <c r="E475" s="33"/>
      <c r="F475" s="33"/>
      <c r="G475" s="33"/>
      <c r="H475" s="33"/>
      <c r="I475" s="33"/>
      <c r="J475" s="33"/>
      <c r="K475" s="33"/>
      <c r="L475" s="33"/>
      <c r="M475" s="33"/>
      <c r="N475" s="33"/>
      <c r="O475" s="33"/>
    </row>
    <row r="476" spans="4:15">
      <c r="D476" s="33"/>
      <c r="E476" s="33"/>
      <c r="F476" s="33"/>
      <c r="G476" s="33"/>
      <c r="H476" s="33"/>
      <c r="I476" s="33"/>
      <c r="J476" s="33"/>
      <c r="K476" s="33"/>
      <c r="L476" s="33"/>
      <c r="M476" s="33"/>
      <c r="N476" s="33"/>
      <c r="O476" s="33"/>
    </row>
    <row r="477" spans="4:15">
      <c r="D477" s="33"/>
      <c r="E477" s="33"/>
      <c r="F477" s="33"/>
      <c r="G477" s="33"/>
      <c r="H477" s="33"/>
      <c r="I477" s="33"/>
      <c r="J477" s="33"/>
      <c r="K477" s="33"/>
      <c r="L477" s="33"/>
      <c r="M477" s="33"/>
      <c r="N477" s="33"/>
      <c r="O477" s="33"/>
    </row>
    <row r="478" spans="4:15">
      <c r="D478" s="33"/>
      <c r="E478" s="33"/>
      <c r="F478" s="33"/>
      <c r="G478" s="33"/>
      <c r="H478" s="33"/>
      <c r="I478" s="33"/>
      <c r="J478" s="33"/>
      <c r="K478" s="33"/>
      <c r="L478" s="33"/>
      <c r="M478" s="33"/>
      <c r="N478" s="33"/>
      <c r="O478" s="33"/>
    </row>
    <row r="479" spans="4:15">
      <c r="D479" s="33"/>
      <c r="E479" s="33"/>
      <c r="F479" s="33"/>
      <c r="G479" s="33"/>
      <c r="H479" s="33"/>
      <c r="I479" s="33"/>
      <c r="J479" s="33"/>
      <c r="K479" s="33"/>
      <c r="L479" s="33"/>
      <c r="M479" s="33"/>
      <c r="N479" s="33"/>
      <c r="O479" s="33"/>
    </row>
    <row r="480" spans="4:15">
      <c r="D480" s="33"/>
      <c r="E480" s="33"/>
      <c r="F480" s="33"/>
      <c r="G480" s="33"/>
      <c r="H480" s="33"/>
      <c r="I480" s="33"/>
      <c r="J480" s="33"/>
      <c r="K480" s="33"/>
      <c r="L480" s="33"/>
      <c r="M480" s="33"/>
      <c r="N480" s="33"/>
      <c r="O480" s="33"/>
    </row>
    <row r="481" spans="4:15">
      <c r="D481" s="33"/>
      <c r="E481" s="33"/>
      <c r="F481" s="33"/>
      <c r="G481" s="33"/>
      <c r="H481" s="33"/>
      <c r="I481" s="33"/>
      <c r="J481" s="33"/>
      <c r="K481" s="33"/>
      <c r="L481" s="33"/>
      <c r="M481" s="33"/>
      <c r="N481" s="33"/>
      <c r="O481" s="33"/>
    </row>
    <row r="482" spans="4:15">
      <c r="D482" s="33"/>
      <c r="E482" s="33"/>
      <c r="F482" s="33"/>
      <c r="G482" s="33"/>
      <c r="H482" s="33"/>
      <c r="I482" s="33"/>
      <c r="J482" s="33"/>
      <c r="K482" s="33"/>
      <c r="L482" s="33"/>
      <c r="M482" s="33"/>
      <c r="N482" s="33"/>
      <c r="O482" s="33"/>
    </row>
    <row r="483" spans="4:15">
      <c r="D483" s="33"/>
      <c r="E483" s="33"/>
      <c r="F483" s="33"/>
      <c r="G483" s="33"/>
      <c r="H483" s="33"/>
      <c r="I483" s="33"/>
      <c r="J483" s="33"/>
      <c r="K483" s="33"/>
      <c r="L483" s="33"/>
      <c r="M483" s="33"/>
      <c r="N483" s="33"/>
      <c r="O483" s="33"/>
    </row>
    <row r="484" spans="4:15">
      <c r="D484" s="33"/>
      <c r="E484" s="33"/>
      <c r="F484" s="33"/>
      <c r="G484" s="33"/>
      <c r="H484" s="33"/>
      <c r="I484" s="33"/>
      <c r="J484" s="33"/>
      <c r="K484" s="33"/>
      <c r="L484" s="33"/>
      <c r="M484" s="33"/>
      <c r="N484" s="33"/>
      <c r="O484" s="33"/>
    </row>
    <row r="485" spans="4:15">
      <c r="D485" s="33"/>
      <c r="E485" s="33"/>
      <c r="F485" s="33"/>
      <c r="G485" s="33"/>
      <c r="H485" s="33"/>
      <c r="I485" s="33"/>
      <c r="J485" s="33"/>
      <c r="K485" s="33"/>
      <c r="L485" s="33"/>
      <c r="M485" s="33"/>
      <c r="N485" s="33"/>
      <c r="O485" s="33"/>
    </row>
    <row r="486" spans="4:15">
      <c r="D486" s="33"/>
      <c r="E486" s="33"/>
      <c r="F486" s="33"/>
      <c r="G486" s="33"/>
      <c r="H486" s="33"/>
      <c r="I486" s="33"/>
      <c r="J486" s="33"/>
      <c r="K486" s="33"/>
      <c r="L486" s="33"/>
      <c r="M486" s="33"/>
      <c r="N486" s="33"/>
      <c r="O486" s="33"/>
    </row>
    <row r="487" spans="4:15">
      <c r="D487" s="33"/>
      <c r="E487" s="33"/>
      <c r="F487" s="33"/>
      <c r="G487" s="33"/>
      <c r="H487" s="33"/>
      <c r="I487" s="33"/>
      <c r="J487" s="33"/>
      <c r="K487" s="33"/>
      <c r="L487" s="33"/>
      <c r="M487" s="33"/>
      <c r="N487" s="33"/>
      <c r="O487" s="33"/>
    </row>
    <row r="488" spans="4:15">
      <c r="D488" s="33"/>
      <c r="E488" s="33"/>
      <c r="F488" s="33"/>
      <c r="G488" s="33"/>
      <c r="H488" s="33"/>
      <c r="I488" s="33"/>
      <c r="J488" s="33"/>
      <c r="K488" s="33"/>
      <c r="L488" s="33"/>
      <c r="M488" s="33"/>
      <c r="N488" s="33"/>
      <c r="O488" s="33"/>
    </row>
    <row r="489" spans="4:15">
      <c r="D489" s="33"/>
      <c r="E489" s="33"/>
      <c r="F489" s="33"/>
      <c r="G489" s="33"/>
      <c r="H489" s="33"/>
      <c r="I489" s="33"/>
      <c r="J489" s="33"/>
      <c r="K489" s="33"/>
      <c r="L489" s="33"/>
      <c r="M489" s="33"/>
      <c r="N489" s="33"/>
      <c r="O489" s="33"/>
    </row>
    <row r="490" spans="4:15">
      <c r="D490" s="33"/>
      <c r="E490" s="33"/>
      <c r="F490" s="33"/>
      <c r="G490" s="33"/>
      <c r="H490" s="33"/>
      <c r="I490" s="33"/>
      <c r="J490" s="33"/>
      <c r="K490" s="33"/>
      <c r="L490" s="33"/>
      <c r="M490" s="33"/>
      <c r="N490" s="33"/>
      <c r="O490" s="33"/>
    </row>
    <row r="491" spans="4:15">
      <c r="D491" s="33"/>
      <c r="E491" s="33"/>
      <c r="F491" s="33"/>
      <c r="G491" s="33"/>
      <c r="H491" s="33"/>
      <c r="I491" s="33"/>
      <c r="J491" s="33"/>
      <c r="K491" s="33"/>
      <c r="L491" s="33"/>
      <c r="M491" s="33"/>
      <c r="N491" s="33"/>
      <c r="O491" s="33"/>
    </row>
    <row r="492" spans="4:15">
      <c r="D492" s="33"/>
      <c r="E492" s="33"/>
      <c r="F492" s="33"/>
      <c r="G492" s="33"/>
      <c r="H492" s="33"/>
      <c r="I492" s="33"/>
      <c r="J492" s="33"/>
      <c r="K492" s="33"/>
      <c r="L492" s="33"/>
      <c r="M492" s="33"/>
      <c r="N492" s="33"/>
      <c r="O492" s="33"/>
    </row>
    <row r="493" spans="4:15">
      <c r="D493" s="33"/>
      <c r="E493" s="33"/>
      <c r="F493" s="33"/>
      <c r="G493" s="33"/>
      <c r="H493" s="33"/>
      <c r="I493" s="33"/>
      <c r="J493" s="33"/>
      <c r="K493" s="33"/>
      <c r="L493" s="33"/>
      <c r="M493" s="33"/>
      <c r="N493" s="33"/>
      <c r="O493" s="33"/>
    </row>
    <row r="494" spans="4:15">
      <c r="D494" s="33"/>
      <c r="E494" s="33"/>
      <c r="F494" s="33"/>
      <c r="G494" s="33"/>
      <c r="H494" s="33"/>
      <c r="I494" s="33"/>
      <c r="J494" s="33"/>
      <c r="K494" s="33"/>
      <c r="L494" s="33"/>
      <c r="M494" s="33"/>
      <c r="N494" s="33"/>
      <c r="O494" s="33"/>
    </row>
    <row r="495" spans="4:15">
      <c r="D495" s="33"/>
      <c r="E495" s="33"/>
      <c r="F495" s="33"/>
      <c r="G495" s="33"/>
      <c r="H495" s="33"/>
      <c r="I495" s="33"/>
      <c r="J495" s="33"/>
      <c r="K495" s="33"/>
      <c r="L495" s="33"/>
      <c r="M495" s="33"/>
      <c r="N495" s="33"/>
      <c r="O495" s="33"/>
    </row>
    <row r="496" spans="4:15">
      <c r="D496" s="33"/>
      <c r="E496" s="33"/>
      <c r="F496" s="33"/>
      <c r="G496" s="33"/>
      <c r="H496" s="33"/>
      <c r="I496" s="33"/>
      <c r="J496" s="33"/>
      <c r="K496" s="33"/>
      <c r="L496" s="33"/>
      <c r="M496" s="33"/>
      <c r="N496" s="33"/>
      <c r="O496" s="33"/>
    </row>
    <row r="497" spans="4:15">
      <c r="D497" s="33"/>
      <c r="E497" s="33"/>
      <c r="F497" s="33"/>
      <c r="G497" s="33"/>
      <c r="H497" s="33"/>
      <c r="I497" s="33"/>
      <c r="J497" s="33"/>
      <c r="K497" s="33"/>
      <c r="L497" s="33"/>
      <c r="M497" s="33"/>
      <c r="N497" s="33"/>
      <c r="O497" s="33"/>
    </row>
    <row r="498" spans="4:15">
      <c r="D498" s="33"/>
      <c r="E498" s="33"/>
      <c r="F498" s="33"/>
      <c r="G498" s="33"/>
      <c r="H498" s="33"/>
      <c r="I498" s="33"/>
      <c r="J498" s="33"/>
      <c r="K498" s="33"/>
      <c r="L498" s="33"/>
      <c r="M498" s="33"/>
      <c r="N498" s="33"/>
      <c r="O498" s="33"/>
    </row>
    <row r="499" spans="4:15">
      <c r="D499" s="33"/>
      <c r="E499" s="33"/>
      <c r="F499" s="33"/>
      <c r="G499" s="33"/>
      <c r="H499" s="33"/>
      <c r="I499" s="33"/>
      <c r="J499" s="33"/>
      <c r="K499" s="33"/>
      <c r="L499" s="33"/>
      <c r="M499" s="33"/>
      <c r="N499" s="33"/>
      <c r="O499" s="33"/>
    </row>
    <row r="500" spans="4:15">
      <c r="D500" s="33"/>
      <c r="E500" s="33"/>
      <c r="F500" s="33"/>
      <c r="G500" s="33"/>
      <c r="H500" s="33"/>
      <c r="I500" s="33"/>
      <c r="J500" s="33"/>
      <c r="K500" s="33"/>
      <c r="L500" s="33"/>
      <c r="M500" s="33"/>
      <c r="N500" s="33"/>
      <c r="O500" s="33"/>
    </row>
    <row r="501" spans="4:15">
      <c r="D501" s="33"/>
      <c r="E501" s="33"/>
      <c r="F501" s="33"/>
      <c r="G501" s="33"/>
      <c r="H501" s="33"/>
      <c r="I501" s="33"/>
      <c r="J501" s="33"/>
      <c r="K501" s="33"/>
      <c r="L501" s="33"/>
      <c r="M501" s="33"/>
      <c r="N501" s="33"/>
      <c r="O501" s="33"/>
    </row>
    <row r="502" spans="4:15">
      <c r="D502" s="33"/>
      <c r="E502" s="33"/>
      <c r="F502" s="33"/>
      <c r="G502" s="33"/>
      <c r="H502" s="33"/>
      <c r="I502" s="33"/>
      <c r="J502" s="33"/>
      <c r="K502" s="33"/>
      <c r="L502" s="33"/>
      <c r="M502" s="33"/>
      <c r="N502" s="33"/>
      <c r="O502" s="33"/>
    </row>
    <row r="503" spans="4:15">
      <c r="D503" s="33"/>
      <c r="E503" s="33"/>
      <c r="F503" s="33"/>
      <c r="G503" s="33"/>
      <c r="H503" s="33"/>
      <c r="I503" s="33"/>
      <c r="J503" s="33"/>
      <c r="K503" s="33"/>
      <c r="L503" s="33"/>
      <c r="M503" s="33"/>
      <c r="N503" s="33"/>
      <c r="O503" s="33"/>
    </row>
    <row r="504" spans="4:15">
      <c r="D504" s="33"/>
      <c r="E504" s="33"/>
      <c r="F504" s="33"/>
      <c r="G504" s="33"/>
      <c r="H504" s="33"/>
      <c r="I504" s="33"/>
      <c r="J504" s="33"/>
      <c r="K504" s="33"/>
      <c r="L504" s="33"/>
      <c r="M504" s="33"/>
      <c r="N504" s="33"/>
      <c r="O504" s="33"/>
    </row>
    <row r="505" spans="4:15">
      <c r="D505" s="33"/>
      <c r="E505" s="33"/>
      <c r="F505" s="33"/>
      <c r="G505" s="33"/>
      <c r="H505" s="33"/>
      <c r="I505" s="33"/>
      <c r="J505" s="33"/>
      <c r="K505" s="33"/>
      <c r="L505" s="33"/>
      <c r="M505" s="33"/>
      <c r="N505" s="33"/>
      <c r="O505" s="33"/>
    </row>
    <row r="506" spans="4:15">
      <c r="D506" s="33"/>
      <c r="E506" s="33"/>
      <c r="F506" s="33"/>
      <c r="G506" s="33"/>
      <c r="H506" s="33"/>
      <c r="I506" s="33"/>
      <c r="J506" s="33"/>
      <c r="K506" s="33"/>
      <c r="L506" s="33"/>
      <c r="M506" s="33"/>
      <c r="N506" s="33"/>
      <c r="O506" s="33"/>
    </row>
    <row r="507" spans="4:15">
      <c r="D507" s="33"/>
      <c r="E507" s="33"/>
      <c r="F507" s="33"/>
      <c r="G507" s="33"/>
      <c r="H507" s="33"/>
      <c r="I507" s="33"/>
      <c r="J507" s="33"/>
      <c r="K507" s="33"/>
      <c r="L507" s="33"/>
      <c r="M507" s="33"/>
      <c r="N507" s="33"/>
      <c r="O507" s="33"/>
    </row>
    <row r="508" spans="4:15">
      <c r="D508" s="33"/>
      <c r="E508" s="33"/>
      <c r="F508" s="33"/>
      <c r="G508" s="33"/>
      <c r="H508" s="33"/>
      <c r="I508" s="33"/>
      <c r="J508" s="33"/>
      <c r="K508" s="33"/>
      <c r="L508" s="33"/>
      <c r="M508" s="33"/>
      <c r="N508" s="33"/>
      <c r="O508" s="33"/>
    </row>
    <row r="509" spans="4:15">
      <c r="D509" s="33"/>
      <c r="E509" s="33"/>
      <c r="F509" s="33"/>
      <c r="G509" s="33"/>
      <c r="H509" s="33"/>
      <c r="I509" s="33"/>
      <c r="J509" s="33"/>
      <c r="K509" s="33"/>
      <c r="L509" s="33"/>
      <c r="M509" s="33"/>
      <c r="N509" s="33"/>
      <c r="O509" s="33"/>
    </row>
    <row r="510" spans="4:15">
      <c r="D510" s="33"/>
      <c r="E510" s="33"/>
      <c r="F510" s="33"/>
      <c r="G510" s="33"/>
      <c r="H510" s="33"/>
      <c r="I510" s="33"/>
      <c r="J510" s="33"/>
      <c r="K510" s="33"/>
      <c r="L510" s="33"/>
      <c r="M510" s="33"/>
      <c r="N510" s="33"/>
      <c r="O510" s="33"/>
    </row>
    <row r="511" spans="4:15">
      <c r="D511" s="33"/>
      <c r="E511" s="33"/>
      <c r="F511" s="33"/>
      <c r="G511" s="33"/>
      <c r="H511" s="33"/>
      <c r="I511" s="33"/>
      <c r="J511" s="33"/>
      <c r="K511" s="33"/>
      <c r="L511" s="33"/>
      <c r="M511" s="33"/>
      <c r="N511" s="33"/>
      <c r="O511" s="33"/>
    </row>
    <row r="512" spans="4:15">
      <c r="D512" s="33"/>
      <c r="E512" s="33"/>
      <c r="F512" s="33"/>
      <c r="G512" s="33"/>
      <c r="H512" s="33"/>
      <c r="I512" s="33"/>
      <c r="J512" s="33"/>
      <c r="K512" s="33"/>
      <c r="L512" s="33"/>
      <c r="M512" s="33"/>
      <c r="N512" s="33"/>
      <c r="O512" s="33"/>
    </row>
    <row r="513" spans="4:15">
      <c r="D513" s="33"/>
      <c r="E513" s="33"/>
      <c r="F513" s="33"/>
      <c r="G513" s="33"/>
      <c r="H513" s="33"/>
      <c r="I513" s="33"/>
      <c r="J513" s="33"/>
      <c r="K513" s="33"/>
      <c r="L513" s="33"/>
      <c r="M513" s="33"/>
      <c r="N513" s="33"/>
      <c r="O513" s="33"/>
    </row>
    <row r="514" spans="4:15">
      <c r="D514" s="33"/>
      <c r="E514" s="33"/>
      <c r="F514" s="33"/>
      <c r="G514" s="33"/>
      <c r="H514" s="33"/>
      <c r="I514" s="33"/>
      <c r="J514" s="33"/>
      <c r="K514" s="33"/>
      <c r="L514" s="33"/>
      <c r="M514" s="33"/>
      <c r="N514" s="33"/>
      <c r="O514" s="33"/>
    </row>
    <row r="515" spans="4:15">
      <c r="D515" s="33"/>
      <c r="E515" s="33"/>
      <c r="F515" s="33"/>
      <c r="G515" s="33"/>
      <c r="H515" s="33"/>
      <c r="I515" s="33"/>
      <c r="J515" s="33"/>
      <c r="K515" s="33"/>
      <c r="L515" s="33"/>
      <c r="M515" s="33"/>
      <c r="N515" s="33"/>
      <c r="O515" s="33"/>
    </row>
    <row r="516" spans="4:15">
      <c r="D516" s="33"/>
      <c r="E516" s="33"/>
      <c r="F516" s="33"/>
      <c r="G516" s="33"/>
      <c r="H516" s="33"/>
      <c r="I516" s="33"/>
      <c r="J516" s="33"/>
      <c r="K516" s="33"/>
      <c r="L516" s="33"/>
      <c r="M516" s="33"/>
      <c r="N516" s="33"/>
      <c r="O516" s="33"/>
    </row>
    <row r="517" spans="4:15">
      <c r="D517" s="33"/>
      <c r="E517" s="33"/>
      <c r="F517" s="33"/>
      <c r="G517" s="33"/>
      <c r="H517" s="33"/>
      <c r="I517" s="33"/>
      <c r="J517" s="33"/>
      <c r="K517" s="33"/>
      <c r="L517" s="33"/>
      <c r="M517" s="33"/>
      <c r="N517" s="33"/>
      <c r="O517" s="33"/>
    </row>
    <row r="518" spans="4:15">
      <c r="D518" s="33"/>
      <c r="E518" s="33"/>
      <c r="F518" s="33"/>
      <c r="G518" s="33"/>
      <c r="H518" s="33"/>
      <c r="I518" s="33"/>
      <c r="J518" s="33"/>
      <c r="K518" s="33"/>
      <c r="L518" s="33"/>
      <c r="M518" s="33"/>
      <c r="N518" s="33"/>
      <c r="O518" s="33"/>
    </row>
    <row r="519" spans="4:15">
      <c r="D519" s="33"/>
      <c r="E519" s="33"/>
      <c r="F519" s="33"/>
      <c r="G519" s="33"/>
      <c r="H519" s="33"/>
      <c r="I519" s="33"/>
      <c r="J519" s="33"/>
      <c r="K519" s="33"/>
      <c r="L519" s="33"/>
      <c r="M519" s="33"/>
      <c r="N519" s="33"/>
      <c r="O519" s="33"/>
    </row>
    <row r="520" spans="4:15">
      <c r="D520" s="33"/>
      <c r="E520" s="33"/>
      <c r="F520" s="33"/>
      <c r="G520" s="33"/>
      <c r="H520" s="33"/>
      <c r="I520" s="33"/>
      <c r="J520" s="33"/>
      <c r="K520" s="33"/>
      <c r="L520" s="33"/>
      <c r="M520" s="33"/>
      <c r="N520" s="33"/>
      <c r="O520" s="33"/>
    </row>
    <row r="521" spans="4:15">
      <c r="D521" s="33"/>
      <c r="E521" s="33"/>
      <c r="F521" s="33"/>
      <c r="G521" s="33"/>
      <c r="H521" s="33"/>
      <c r="I521" s="33"/>
      <c r="J521" s="33"/>
      <c r="K521" s="33"/>
      <c r="L521" s="33"/>
      <c r="M521" s="33"/>
      <c r="N521" s="33"/>
      <c r="O521" s="33"/>
    </row>
    <row r="522" spans="4:15">
      <c r="D522" s="33"/>
      <c r="E522" s="33"/>
      <c r="F522" s="33"/>
      <c r="G522" s="33"/>
      <c r="H522" s="33"/>
      <c r="I522" s="33"/>
      <c r="J522" s="33"/>
      <c r="K522" s="33"/>
      <c r="L522" s="33"/>
      <c r="M522" s="33"/>
      <c r="N522" s="33"/>
      <c r="O522" s="33"/>
    </row>
    <row r="523" spans="4:15">
      <c r="D523" s="33"/>
      <c r="E523" s="33"/>
      <c r="F523" s="33"/>
      <c r="G523" s="33"/>
      <c r="H523" s="33"/>
      <c r="I523" s="33"/>
      <c r="J523" s="33"/>
      <c r="K523" s="33"/>
      <c r="L523" s="33"/>
      <c r="M523" s="33"/>
      <c r="N523" s="33"/>
      <c r="O523" s="33"/>
    </row>
    <row r="524" spans="4:15">
      <c r="D524" s="33"/>
      <c r="E524" s="33"/>
      <c r="F524" s="33"/>
      <c r="G524" s="33"/>
      <c r="H524" s="33"/>
      <c r="I524" s="33"/>
      <c r="J524" s="33"/>
      <c r="K524" s="33"/>
      <c r="L524" s="33"/>
      <c r="M524" s="33"/>
      <c r="N524" s="33"/>
      <c r="O524" s="33"/>
    </row>
    <row r="525" spans="4:15">
      <c r="D525" s="33"/>
      <c r="E525" s="33"/>
      <c r="F525" s="33"/>
      <c r="G525" s="33"/>
      <c r="H525" s="33"/>
      <c r="I525" s="33"/>
      <c r="J525" s="33"/>
      <c r="K525" s="33"/>
      <c r="L525" s="33"/>
      <c r="M525" s="33"/>
      <c r="N525" s="33"/>
      <c r="O525" s="33"/>
    </row>
    <row r="526" spans="4:15">
      <c r="D526" s="33"/>
      <c r="E526" s="33"/>
      <c r="F526" s="33"/>
      <c r="G526" s="33"/>
      <c r="H526" s="33"/>
      <c r="I526" s="33"/>
      <c r="J526" s="33"/>
      <c r="K526" s="33"/>
      <c r="L526" s="33"/>
      <c r="M526" s="33"/>
      <c r="N526" s="33"/>
      <c r="O526" s="33"/>
    </row>
    <row r="527" spans="4:15">
      <c r="D527" s="33"/>
      <c r="E527" s="33"/>
      <c r="F527" s="33"/>
      <c r="G527" s="33"/>
      <c r="H527" s="33"/>
      <c r="I527" s="33"/>
      <c r="J527" s="33"/>
      <c r="K527" s="33"/>
      <c r="L527" s="33"/>
      <c r="M527" s="33"/>
      <c r="N527" s="33"/>
      <c r="O527" s="33"/>
    </row>
    <row r="528" spans="4:15">
      <c r="D528" s="33"/>
      <c r="E528" s="33"/>
      <c r="F528" s="33"/>
      <c r="G528" s="33"/>
      <c r="H528" s="33"/>
      <c r="I528" s="33"/>
      <c r="J528" s="33"/>
      <c r="K528" s="33"/>
      <c r="L528" s="33"/>
      <c r="M528" s="33"/>
      <c r="N528" s="33"/>
      <c r="O528" s="33"/>
    </row>
    <row r="529" spans="4:15">
      <c r="D529" s="33"/>
      <c r="E529" s="33"/>
      <c r="F529" s="33"/>
      <c r="G529" s="33"/>
      <c r="H529" s="33"/>
      <c r="I529" s="33"/>
      <c r="J529" s="33"/>
      <c r="K529" s="33"/>
      <c r="L529" s="33"/>
      <c r="M529" s="33"/>
      <c r="N529" s="33"/>
      <c r="O529" s="33"/>
    </row>
    <row r="530" spans="4:15">
      <c r="D530" s="33"/>
      <c r="E530" s="33"/>
      <c r="F530" s="33"/>
      <c r="G530" s="33"/>
      <c r="H530" s="33"/>
      <c r="I530" s="33"/>
      <c r="J530" s="33"/>
      <c r="K530" s="33"/>
      <c r="L530" s="33"/>
      <c r="M530" s="33"/>
      <c r="N530" s="33"/>
      <c r="O530" s="33"/>
    </row>
    <row r="531" spans="4:15">
      <c r="D531" s="33"/>
      <c r="E531" s="33"/>
      <c r="F531" s="33"/>
      <c r="G531" s="33"/>
      <c r="H531" s="33"/>
      <c r="I531" s="33"/>
      <c r="J531" s="33"/>
      <c r="K531" s="33"/>
      <c r="L531" s="33"/>
      <c r="M531" s="33"/>
      <c r="N531" s="33"/>
      <c r="O531" s="33"/>
    </row>
    <row r="532" spans="4:15">
      <c r="D532" s="33"/>
      <c r="E532" s="33"/>
      <c r="F532" s="33"/>
      <c r="G532" s="33"/>
      <c r="H532" s="33"/>
      <c r="I532" s="33"/>
      <c r="J532" s="33"/>
      <c r="K532" s="33"/>
      <c r="L532" s="33"/>
      <c r="M532" s="33"/>
      <c r="N532" s="33"/>
      <c r="O532" s="33"/>
    </row>
    <row r="533" spans="4:15">
      <c r="D533" s="33"/>
      <c r="E533" s="33"/>
      <c r="F533" s="33"/>
      <c r="G533" s="33"/>
      <c r="H533" s="33"/>
      <c r="I533" s="33"/>
      <c r="J533" s="33"/>
      <c r="K533" s="33"/>
      <c r="L533" s="33"/>
      <c r="M533" s="33"/>
      <c r="N533" s="33"/>
      <c r="O533" s="33"/>
    </row>
    <row r="534" spans="4:15">
      <c r="D534" s="33"/>
      <c r="E534" s="33"/>
      <c r="F534" s="33"/>
      <c r="G534" s="33"/>
      <c r="H534" s="33"/>
      <c r="I534" s="33"/>
      <c r="J534" s="33"/>
      <c r="K534" s="33"/>
      <c r="L534" s="33"/>
      <c r="M534" s="33"/>
      <c r="N534" s="33"/>
      <c r="O534" s="33"/>
    </row>
    <row r="535" spans="4:15">
      <c r="D535" s="33"/>
      <c r="E535" s="33"/>
      <c r="F535" s="33"/>
      <c r="G535" s="33"/>
      <c r="H535" s="33"/>
      <c r="I535" s="33"/>
      <c r="J535" s="33"/>
      <c r="K535" s="33"/>
      <c r="L535" s="33"/>
      <c r="M535" s="33"/>
      <c r="N535" s="33"/>
      <c r="O535" s="33"/>
    </row>
    <row r="536" spans="4:15">
      <c r="D536" s="33"/>
      <c r="E536" s="33"/>
      <c r="F536" s="33"/>
      <c r="G536" s="33"/>
      <c r="H536" s="33"/>
      <c r="I536" s="33"/>
      <c r="J536" s="33"/>
      <c r="K536" s="33"/>
      <c r="L536" s="33"/>
      <c r="M536" s="33"/>
      <c r="N536" s="33"/>
      <c r="O536" s="33"/>
    </row>
    <row r="537" spans="4:15">
      <c r="D537" s="33"/>
      <c r="E537" s="33"/>
      <c r="F537" s="33"/>
      <c r="G537" s="33"/>
      <c r="H537" s="33"/>
      <c r="I537" s="33"/>
      <c r="J537" s="33"/>
      <c r="K537" s="33"/>
      <c r="L537" s="33"/>
      <c r="M537" s="33"/>
      <c r="N537" s="33"/>
      <c r="O537" s="33"/>
    </row>
    <row r="538" spans="4:15">
      <c r="D538" s="33"/>
      <c r="E538" s="33"/>
      <c r="F538" s="33"/>
      <c r="G538" s="33"/>
      <c r="H538" s="33"/>
      <c r="I538" s="33"/>
      <c r="J538" s="33"/>
      <c r="K538" s="33"/>
      <c r="L538" s="33"/>
      <c r="M538" s="33"/>
      <c r="N538" s="33"/>
      <c r="O538" s="33"/>
    </row>
    <row r="539" spans="4:15">
      <c r="D539" s="33"/>
      <c r="E539" s="33"/>
      <c r="F539" s="33"/>
      <c r="G539" s="33"/>
      <c r="H539" s="33"/>
      <c r="I539" s="33"/>
      <c r="J539" s="33"/>
      <c r="K539" s="33"/>
      <c r="L539" s="33"/>
      <c r="M539" s="33"/>
      <c r="N539" s="33"/>
      <c r="O539" s="33"/>
    </row>
    <row r="540" spans="4:15">
      <c r="D540" s="33"/>
      <c r="E540" s="33"/>
      <c r="F540" s="33"/>
      <c r="G540" s="33"/>
      <c r="H540" s="33"/>
      <c r="I540" s="33"/>
      <c r="J540" s="33"/>
      <c r="K540" s="33"/>
      <c r="L540" s="33"/>
      <c r="M540" s="33"/>
      <c r="N540" s="33"/>
      <c r="O540" s="33"/>
    </row>
    <row r="541" spans="4:15">
      <c r="D541" s="33"/>
      <c r="E541" s="33"/>
      <c r="F541" s="33"/>
      <c r="G541" s="33"/>
      <c r="H541" s="33"/>
      <c r="I541" s="33"/>
      <c r="J541" s="33"/>
      <c r="K541" s="33"/>
      <c r="L541" s="33"/>
      <c r="M541" s="33"/>
      <c r="N541" s="33"/>
      <c r="O541" s="33"/>
    </row>
    <row r="542" spans="4:15">
      <c r="D542" s="33"/>
      <c r="E542" s="33"/>
      <c r="F542" s="33"/>
      <c r="G542" s="33"/>
      <c r="H542" s="33"/>
      <c r="I542" s="33"/>
      <c r="J542" s="33"/>
      <c r="K542" s="33"/>
      <c r="L542" s="33"/>
      <c r="M542" s="33"/>
      <c r="N542" s="33"/>
      <c r="O542" s="33"/>
    </row>
    <row r="543" spans="4:15">
      <c r="D543" s="33"/>
      <c r="E543" s="33"/>
      <c r="F543" s="33"/>
      <c r="G543" s="33"/>
      <c r="H543" s="33"/>
      <c r="I543" s="33"/>
      <c r="J543" s="33"/>
      <c r="K543" s="33"/>
      <c r="L543" s="33"/>
      <c r="M543" s="33"/>
      <c r="N543" s="33"/>
      <c r="O543" s="33"/>
    </row>
    <row r="544" spans="4:15">
      <c r="D544" s="33"/>
      <c r="E544" s="33"/>
      <c r="F544" s="33"/>
      <c r="G544" s="33"/>
      <c r="H544" s="33"/>
      <c r="I544" s="33"/>
      <c r="J544" s="33"/>
      <c r="K544" s="33"/>
      <c r="L544" s="33"/>
      <c r="M544" s="33"/>
      <c r="N544" s="33"/>
      <c r="O544" s="33"/>
    </row>
    <row r="545" spans="4:15">
      <c r="D545" s="33"/>
      <c r="E545" s="33"/>
      <c r="F545" s="33"/>
      <c r="G545" s="33"/>
      <c r="H545" s="33"/>
      <c r="I545" s="33"/>
      <c r="J545" s="33"/>
      <c r="K545" s="33"/>
      <c r="L545" s="33"/>
      <c r="M545" s="33"/>
      <c r="N545" s="33"/>
      <c r="O545" s="33"/>
    </row>
    <row r="546" spans="4:15">
      <c r="D546" s="33"/>
      <c r="E546" s="33"/>
      <c r="F546" s="33"/>
      <c r="G546" s="33"/>
      <c r="H546" s="33"/>
      <c r="I546" s="33"/>
      <c r="J546" s="33"/>
      <c r="K546" s="33"/>
      <c r="L546" s="33"/>
      <c r="M546" s="33"/>
      <c r="N546" s="33"/>
      <c r="O546" s="33"/>
    </row>
    <row r="547" spans="4:15">
      <c r="D547" s="33"/>
      <c r="E547" s="33"/>
      <c r="F547" s="33"/>
      <c r="G547" s="33"/>
      <c r="H547" s="33"/>
      <c r="I547" s="33"/>
      <c r="J547" s="33"/>
      <c r="K547" s="33"/>
      <c r="L547" s="33"/>
      <c r="M547" s="33"/>
      <c r="N547" s="33"/>
      <c r="O547" s="33"/>
    </row>
    <row r="548" spans="4:15">
      <c r="D548" s="33"/>
      <c r="E548" s="33"/>
      <c r="F548" s="33"/>
      <c r="G548" s="33"/>
      <c r="H548" s="33"/>
      <c r="I548" s="33"/>
      <c r="J548" s="33"/>
      <c r="K548" s="33"/>
      <c r="L548" s="33"/>
      <c r="M548" s="33"/>
      <c r="N548" s="33"/>
      <c r="O548" s="33"/>
    </row>
    <row r="549" spans="4:15">
      <c r="D549" s="33"/>
      <c r="E549" s="33"/>
      <c r="F549" s="33"/>
      <c r="G549" s="33"/>
      <c r="H549" s="33"/>
      <c r="I549" s="33"/>
      <c r="J549" s="33"/>
      <c r="K549" s="33"/>
      <c r="L549" s="33"/>
      <c r="M549" s="33"/>
      <c r="N549" s="33"/>
      <c r="O549" s="33"/>
    </row>
    <row r="550" spans="4:15">
      <c r="D550" s="33"/>
      <c r="E550" s="33"/>
      <c r="F550" s="33"/>
      <c r="G550" s="33"/>
      <c r="H550" s="33"/>
      <c r="I550" s="33"/>
      <c r="J550" s="33"/>
      <c r="K550" s="33"/>
      <c r="L550" s="33"/>
      <c r="M550" s="33"/>
      <c r="N550" s="33"/>
      <c r="O550" s="33"/>
    </row>
    <row r="551" spans="4:15">
      <c r="D551" s="33"/>
      <c r="E551" s="33"/>
      <c r="F551" s="33"/>
      <c r="G551" s="33"/>
      <c r="H551" s="33"/>
      <c r="I551" s="33"/>
      <c r="J551" s="33"/>
      <c r="K551" s="33"/>
      <c r="L551" s="33"/>
      <c r="M551" s="33"/>
      <c r="N551" s="33"/>
      <c r="O551" s="33"/>
    </row>
    <row r="552" spans="4:15">
      <c r="D552" s="33"/>
      <c r="E552" s="33"/>
      <c r="F552" s="33"/>
      <c r="G552" s="33"/>
      <c r="H552" s="33"/>
      <c r="I552" s="33"/>
      <c r="J552" s="33"/>
      <c r="K552" s="33"/>
      <c r="L552" s="33"/>
      <c r="M552" s="33"/>
      <c r="N552" s="33"/>
      <c r="O552" s="33"/>
    </row>
    <row r="553" spans="4:15">
      <c r="D553" s="33"/>
      <c r="E553" s="33"/>
      <c r="F553" s="33"/>
      <c r="G553" s="33"/>
      <c r="H553" s="33"/>
      <c r="I553" s="33"/>
      <c r="J553" s="33"/>
      <c r="K553" s="33"/>
      <c r="L553" s="33"/>
      <c r="M553" s="33"/>
      <c r="N553" s="33"/>
      <c r="O553" s="33"/>
    </row>
    <row r="554" spans="4:15">
      <c r="D554" s="33"/>
      <c r="E554" s="33"/>
      <c r="F554" s="33"/>
      <c r="G554" s="33"/>
      <c r="H554" s="33"/>
      <c r="I554" s="33"/>
      <c r="J554" s="33"/>
      <c r="K554" s="33"/>
      <c r="L554" s="33"/>
      <c r="M554" s="33"/>
      <c r="N554" s="33"/>
      <c r="O554" s="33"/>
    </row>
    <row r="555" spans="4:15">
      <c r="D555" s="33"/>
      <c r="E555" s="33"/>
      <c r="F555" s="33"/>
      <c r="G555" s="33"/>
      <c r="H555" s="33"/>
      <c r="I555" s="33"/>
      <c r="J555" s="33"/>
      <c r="K555" s="33"/>
      <c r="L555" s="33"/>
      <c r="M555" s="33"/>
      <c r="N555" s="33"/>
      <c r="O555" s="33"/>
    </row>
    <row r="556" spans="4:15">
      <c r="D556" s="33"/>
      <c r="E556" s="33"/>
      <c r="F556" s="33"/>
      <c r="G556" s="33"/>
      <c r="H556" s="33"/>
      <c r="I556" s="33"/>
      <c r="J556" s="33"/>
      <c r="K556" s="33"/>
      <c r="L556" s="33"/>
      <c r="M556" s="33"/>
      <c r="N556" s="33"/>
      <c r="O556" s="33"/>
    </row>
    <row r="557" spans="4:15">
      <c r="D557" s="33"/>
      <c r="E557" s="33"/>
      <c r="F557" s="33"/>
      <c r="G557" s="33"/>
      <c r="H557" s="33"/>
      <c r="I557" s="33"/>
      <c r="J557" s="33"/>
      <c r="K557" s="33"/>
      <c r="L557" s="33"/>
      <c r="M557" s="33"/>
      <c r="N557" s="33"/>
      <c r="O557" s="33"/>
    </row>
    <row r="558" spans="4:15">
      <c r="D558" s="33"/>
      <c r="E558" s="33"/>
      <c r="F558" s="33"/>
      <c r="G558" s="33"/>
      <c r="H558" s="33"/>
      <c r="I558" s="33"/>
      <c r="J558" s="33"/>
      <c r="K558" s="33"/>
      <c r="L558" s="33"/>
      <c r="M558" s="33"/>
      <c r="N558" s="33"/>
      <c r="O558" s="33"/>
    </row>
    <row r="559" spans="4:15">
      <c r="D559" s="33"/>
      <c r="E559" s="33"/>
      <c r="F559" s="33"/>
      <c r="G559" s="33"/>
      <c r="H559" s="33"/>
      <c r="I559" s="33"/>
      <c r="J559" s="33"/>
      <c r="K559" s="33"/>
      <c r="L559" s="33"/>
      <c r="M559" s="33"/>
      <c r="N559" s="33"/>
      <c r="O559" s="33"/>
    </row>
    <row r="560" spans="4:15">
      <c r="D560" s="33"/>
      <c r="E560" s="33"/>
      <c r="F560" s="33"/>
      <c r="G560" s="33"/>
      <c r="H560" s="33"/>
      <c r="I560" s="33"/>
      <c r="J560" s="33"/>
      <c r="K560" s="33"/>
      <c r="L560" s="33"/>
      <c r="M560" s="33"/>
      <c r="N560" s="33"/>
      <c r="O560" s="33"/>
    </row>
    <row r="561" spans="4:15">
      <c r="D561" s="33"/>
      <c r="E561" s="33"/>
      <c r="F561" s="33"/>
      <c r="G561" s="33"/>
      <c r="H561" s="33"/>
      <c r="I561" s="33"/>
      <c r="J561" s="33"/>
      <c r="K561" s="33"/>
      <c r="L561" s="33"/>
      <c r="M561" s="33"/>
      <c r="N561" s="33"/>
      <c r="O561" s="33"/>
    </row>
    <row r="562" spans="4:15">
      <c r="D562" s="33"/>
      <c r="E562" s="33"/>
      <c r="F562" s="33"/>
      <c r="G562" s="33"/>
      <c r="H562" s="33"/>
      <c r="I562" s="33"/>
      <c r="J562" s="33"/>
      <c r="K562" s="33"/>
      <c r="L562" s="33"/>
      <c r="M562" s="33"/>
      <c r="N562" s="33"/>
      <c r="O562" s="33"/>
    </row>
    <row r="563" spans="4:15">
      <c r="D563" s="33"/>
      <c r="E563" s="33"/>
      <c r="F563" s="33"/>
      <c r="G563" s="33"/>
      <c r="H563" s="33"/>
      <c r="I563" s="33"/>
      <c r="J563" s="33"/>
      <c r="K563" s="33"/>
      <c r="L563" s="33"/>
      <c r="M563" s="33"/>
      <c r="N563" s="33"/>
      <c r="O563" s="33"/>
    </row>
    <row r="564" spans="4:15">
      <c r="D564" s="33"/>
      <c r="E564" s="33"/>
      <c r="F564" s="33"/>
      <c r="G564" s="33"/>
      <c r="H564" s="33"/>
      <c r="I564" s="33"/>
      <c r="J564" s="33"/>
      <c r="K564" s="33"/>
      <c r="L564" s="33"/>
      <c r="M564" s="33"/>
      <c r="N564" s="33"/>
      <c r="O564" s="33"/>
    </row>
    <row r="565" spans="4:15">
      <c r="D565" s="33"/>
      <c r="E565" s="33"/>
      <c r="F565" s="33"/>
      <c r="G565" s="33"/>
      <c r="H565" s="33"/>
      <c r="I565" s="33"/>
      <c r="J565" s="33"/>
      <c r="K565" s="33"/>
      <c r="L565" s="33"/>
      <c r="M565" s="33"/>
      <c r="N565" s="33"/>
      <c r="O565" s="33"/>
    </row>
    <row r="566" spans="4:15">
      <c r="D566" s="33"/>
      <c r="E566" s="33"/>
      <c r="F566" s="33"/>
      <c r="G566" s="33"/>
      <c r="H566" s="33"/>
      <c r="I566" s="33"/>
      <c r="J566" s="33"/>
      <c r="K566" s="33"/>
      <c r="L566" s="33"/>
      <c r="M566" s="33"/>
      <c r="N566" s="33"/>
      <c r="O566" s="33"/>
    </row>
    <row r="567" spans="4:15">
      <c r="D567" s="33"/>
      <c r="E567" s="33"/>
      <c r="F567" s="33"/>
      <c r="G567" s="33"/>
      <c r="H567" s="33"/>
      <c r="I567" s="33"/>
      <c r="J567" s="33"/>
      <c r="K567" s="33"/>
      <c r="L567" s="33"/>
      <c r="M567" s="33"/>
      <c r="N567" s="33"/>
      <c r="O567" s="33"/>
    </row>
    <row r="568" spans="4:15">
      <c r="D568" s="33"/>
      <c r="E568" s="33"/>
      <c r="F568" s="33"/>
      <c r="G568" s="33"/>
      <c r="H568" s="33"/>
      <c r="I568" s="33"/>
      <c r="J568" s="33"/>
      <c r="K568" s="33"/>
      <c r="L568" s="33"/>
      <c r="M568" s="33"/>
      <c r="N568" s="33"/>
      <c r="O568" s="33"/>
    </row>
    <row r="569" spans="4:15">
      <c r="D569" s="33"/>
      <c r="E569" s="33"/>
      <c r="F569" s="33"/>
      <c r="G569" s="33"/>
      <c r="H569" s="33"/>
      <c r="I569" s="33"/>
      <c r="J569" s="33"/>
      <c r="K569" s="33"/>
      <c r="L569" s="33"/>
      <c r="M569" s="33"/>
      <c r="N569" s="33"/>
      <c r="O569" s="33"/>
    </row>
    <row r="570" spans="4:15">
      <c r="D570" s="33"/>
      <c r="E570" s="33"/>
      <c r="F570" s="33"/>
      <c r="G570" s="33"/>
      <c r="H570" s="33"/>
      <c r="I570" s="33"/>
      <c r="J570" s="33"/>
      <c r="K570" s="33"/>
      <c r="L570" s="33"/>
      <c r="M570" s="33"/>
      <c r="N570" s="33"/>
      <c r="O570" s="33"/>
    </row>
    <row r="571" spans="4:15">
      <c r="D571" s="33"/>
      <c r="E571" s="33"/>
      <c r="F571" s="33"/>
      <c r="G571" s="33"/>
      <c r="H571" s="33"/>
      <c r="I571" s="33"/>
      <c r="J571" s="33"/>
      <c r="K571" s="33"/>
      <c r="L571" s="33"/>
      <c r="M571" s="33"/>
      <c r="N571" s="33"/>
      <c r="O571" s="33"/>
    </row>
    <row r="572" spans="4:15">
      <c r="D572" s="33"/>
      <c r="E572" s="33"/>
      <c r="F572" s="33"/>
      <c r="G572" s="33"/>
      <c r="H572" s="33"/>
      <c r="I572" s="33"/>
      <c r="J572" s="33"/>
      <c r="K572" s="33"/>
      <c r="L572" s="33"/>
      <c r="M572" s="33"/>
      <c r="N572" s="33"/>
      <c r="O572" s="33"/>
    </row>
    <row r="573" spans="4:15">
      <c r="D573" s="33"/>
      <c r="E573" s="33"/>
      <c r="F573" s="33"/>
      <c r="G573" s="33"/>
      <c r="H573" s="33"/>
      <c r="I573" s="33"/>
      <c r="J573" s="33"/>
      <c r="K573" s="33"/>
      <c r="L573" s="33"/>
      <c r="M573" s="33"/>
      <c r="N573" s="33"/>
      <c r="O573" s="33"/>
    </row>
    <row r="574" spans="4:15">
      <c r="D574" s="33"/>
      <c r="E574" s="33"/>
      <c r="F574" s="33"/>
      <c r="G574" s="33"/>
      <c r="H574" s="33"/>
      <c r="I574" s="33"/>
      <c r="J574" s="33"/>
      <c r="K574" s="33"/>
      <c r="L574" s="33"/>
      <c r="M574" s="33"/>
      <c r="N574" s="33"/>
      <c r="O574" s="33"/>
    </row>
    <row r="575" spans="4:15">
      <c r="D575" s="33"/>
      <c r="E575" s="33"/>
      <c r="F575" s="33"/>
      <c r="G575" s="33"/>
      <c r="H575" s="33"/>
      <c r="I575" s="33"/>
      <c r="J575" s="33"/>
      <c r="K575" s="33"/>
      <c r="L575" s="33"/>
      <c r="M575" s="33"/>
      <c r="N575" s="33"/>
      <c r="O575" s="33"/>
    </row>
    <row r="576" spans="4:15">
      <c r="D576" s="33"/>
      <c r="E576" s="33"/>
      <c r="F576" s="33"/>
      <c r="G576" s="33"/>
      <c r="H576" s="33"/>
      <c r="I576" s="33"/>
      <c r="J576" s="33"/>
      <c r="K576" s="33"/>
      <c r="L576" s="33"/>
      <c r="M576" s="33"/>
      <c r="N576" s="33"/>
      <c r="O576" s="33"/>
    </row>
    <row r="577" spans="4:15">
      <c r="D577" s="33"/>
      <c r="E577" s="33"/>
      <c r="F577" s="33"/>
      <c r="G577" s="33"/>
      <c r="H577" s="33"/>
      <c r="I577" s="33"/>
      <c r="J577" s="33"/>
      <c r="K577" s="33"/>
      <c r="L577" s="33"/>
      <c r="M577" s="33"/>
      <c r="N577" s="33"/>
      <c r="O577" s="33"/>
    </row>
    <row r="578" spans="4:15">
      <c r="D578" s="33"/>
      <c r="E578" s="33"/>
      <c r="F578" s="33"/>
      <c r="G578" s="33"/>
      <c r="H578" s="33"/>
      <c r="I578" s="33"/>
      <c r="J578" s="33"/>
      <c r="K578" s="33"/>
      <c r="L578" s="33"/>
      <c r="M578" s="33"/>
      <c r="N578" s="33"/>
      <c r="O578" s="33"/>
    </row>
    <row r="579" spans="4:15">
      <c r="D579" s="33"/>
      <c r="E579" s="33"/>
      <c r="F579" s="33"/>
      <c r="G579" s="33"/>
      <c r="H579" s="33"/>
      <c r="I579" s="33"/>
      <c r="J579" s="33"/>
      <c r="K579" s="33"/>
      <c r="L579" s="33"/>
      <c r="M579" s="33"/>
      <c r="N579" s="33"/>
      <c r="O579" s="33"/>
    </row>
    <row r="580" spans="4:15">
      <c r="D580" s="33"/>
      <c r="E580" s="33"/>
      <c r="F580" s="33"/>
      <c r="G580" s="33"/>
      <c r="H580" s="33"/>
      <c r="I580" s="33"/>
      <c r="J580" s="33"/>
      <c r="K580" s="33"/>
      <c r="L580" s="33"/>
      <c r="M580" s="33"/>
      <c r="N580" s="33"/>
      <c r="O580" s="33"/>
    </row>
    <row r="581" spans="4:15">
      <c r="D581" s="33"/>
      <c r="E581" s="33"/>
      <c r="F581" s="33"/>
      <c r="G581" s="33"/>
      <c r="H581" s="33"/>
      <c r="I581" s="33"/>
      <c r="J581" s="33"/>
      <c r="K581" s="33"/>
      <c r="L581" s="33"/>
      <c r="M581" s="33"/>
      <c r="N581" s="33"/>
      <c r="O581" s="33"/>
    </row>
    <row r="582" spans="4:15">
      <c r="D582" s="33"/>
      <c r="E582" s="33"/>
      <c r="F582" s="33"/>
      <c r="G582" s="33"/>
      <c r="H582" s="33"/>
      <c r="I582" s="33"/>
      <c r="J582" s="33"/>
      <c r="K582" s="33"/>
      <c r="L582" s="33"/>
      <c r="M582" s="33"/>
      <c r="N582" s="33"/>
      <c r="O582" s="33"/>
    </row>
    <row r="583" spans="4:15">
      <c r="D583" s="33"/>
      <c r="E583" s="33"/>
      <c r="F583" s="33"/>
      <c r="G583" s="33"/>
      <c r="H583" s="33"/>
      <c r="I583" s="33"/>
      <c r="J583" s="33"/>
      <c r="K583" s="33"/>
      <c r="L583" s="33"/>
      <c r="M583" s="33"/>
      <c r="N583" s="33"/>
      <c r="O583" s="33"/>
    </row>
    <row r="584" spans="4:15">
      <c r="D584" s="33"/>
      <c r="E584" s="33"/>
      <c r="F584" s="33"/>
      <c r="G584" s="33"/>
      <c r="H584" s="33"/>
      <c r="I584" s="33"/>
      <c r="J584" s="33"/>
      <c r="K584" s="33"/>
      <c r="L584" s="33"/>
      <c r="M584" s="33"/>
      <c r="N584" s="33"/>
      <c r="O584" s="33"/>
    </row>
    <row r="585" spans="4:15">
      <c r="D585" s="33"/>
      <c r="E585" s="33"/>
      <c r="F585" s="33"/>
      <c r="G585" s="33"/>
      <c r="H585" s="33"/>
      <c r="I585" s="33"/>
      <c r="J585" s="33"/>
      <c r="K585" s="33"/>
      <c r="L585" s="33"/>
      <c r="M585" s="33"/>
      <c r="N585" s="33"/>
      <c r="O585" s="33"/>
    </row>
    <row r="586" spans="4:15">
      <c r="D586" s="33"/>
      <c r="E586" s="33"/>
      <c r="F586" s="33"/>
      <c r="G586" s="33"/>
      <c r="H586" s="33"/>
      <c r="I586" s="33"/>
      <c r="J586" s="33"/>
      <c r="K586" s="33"/>
      <c r="L586" s="33"/>
      <c r="M586" s="33"/>
      <c r="N586" s="33"/>
      <c r="O586" s="33"/>
    </row>
    <row r="587" spans="4:15">
      <c r="D587" s="33"/>
      <c r="E587" s="33"/>
      <c r="F587" s="33"/>
      <c r="G587" s="33"/>
      <c r="H587" s="33"/>
      <c r="I587" s="33"/>
      <c r="J587" s="33"/>
      <c r="K587" s="33"/>
      <c r="L587" s="33"/>
      <c r="M587" s="33"/>
      <c r="N587" s="33"/>
      <c r="O587" s="33"/>
    </row>
    <row r="588" spans="4:15">
      <c r="D588" s="33"/>
      <c r="E588" s="33"/>
      <c r="F588" s="33"/>
      <c r="G588" s="33"/>
      <c r="H588" s="33"/>
      <c r="I588" s="33"/>
      <c r="J588" s="33"/>
      <c r="K588" s="33"/>
      <c r="L588" s="33"/>
      <c r="M588" s="33"/>
      <c r="N588" s="33"/>
      <c r="O588" s="33"/>
    </row>
    <row r="589" spans="4:15">
      <c r="D589" s="33"/>
      <c r="E589" s="33"/>
      <c r="F589" s="33"/>
      <c r="G589" s="33"/>
      <c r="H589" s="33"/>
      <c r="I589" s="33"/>
      <c r="J589" s="33"/>
      <c r="K589" s="33"/>
      <c r="L589" s="33"/>
      <c r="M589" s="33"/>
      <c r="N589" s="33"/>
      <c r="O589" s="33"/>
    </row>
    <row r="590" spans="4:15">
      <c r="D590" s="33"/>
      <c r="E590" s="33"/>
      <c r="F590" s="33"/>
      <c r="G590" s="33"/>
      <c r="H590" s="33"/>
      <c r="I590" s="33"/>
      <c r="J590" s="33"/>
      <c r="K590" s="33"/>
      <c r="L590" s="33"/>
      <c r="M590" s="33"/>
      <c r="N590" s="33"/>
      <c r="O590" s="33"/>
    </row>
    <row r="591" spans="4:15">
      <c r="D591" s="33"/>
      <c r="E591" s="33"/>
      <c r="F591" s="33"/>
      <c r="G591" s="33"/>
      <c r="H591" s="33"/>
      <c r="I591" s="33"/>
      <c r="J591" s="33"/>
      <c r="K591" s="33"/>
      <c r="L591" s="33"/>
      <c r="M591" s="33"/>
      <c r="N591" s="33"/>
      <c r="O591" s="33"/>
    </row>
    <row r="592" spans="4:15">
      <c r="D592" s="33"/>
      <c r="E592" s="33"/>
      <c r="F592" s="33"/>
      <c r="G592" s="33"/>
      <c r="H592" s="33"/>
      <c r="I592" s="33"/>
      <c r="J592" s="33"/>
      <c r="K592" s="33"/>
      <c r="L592" s="33"/>
      <c r="M592" s="33"/>
      <c r="N592" s="33"/>
      <c r="O592" s="33"/>
    </row>
    <row r="593" spans="4:15">
      <c r="D593" s="33"/>
      <c r="E593" s="33"/>
      <c r="F593" s="33"/>
      <c r="G593" s="33"/>
      <c r="H593" s="33"/>
      <c r="I593" s="33"/>
      <c r="J593" s="33"/>
      <c r="K593" s="33"/>
      <c r="L593" s="33"/>
      <c r="M593" s="33"/>
      <c r="N593" s="33"/>
      <c r="O593" s="33"/>
    </row>
    <row r="594" spans="4:15">
      <c r="D594" s="33"/>
      <c r="E594" s="33"/>
      <c r="F594" s="33"/>
      <c r="G594" s="33"/>
      <c r="H594" s="33"/>
      <c r="I594" s="33"/>
      <c r="J594" s="33"/>
      <c r="K594" s="33"/>
      <c r="L594" s="33"/>
      <c r="M594" s="33"/>
      <c r="N594" s="33"/>
      <c r="O594" s="33"/>
    </row>
    <row r="595" spans="4:15">
      <c r="D595" s="33"/>
      <c r="E595" s="33"/>
      <c r="F595" s="33"/>
      <c r="G595" s="33"/>
      <c r="H595" s="33"/>
      <c r="I595" s="33"/>
      <c r="J595" s="33"/>
      <c r="K595" s="33"/>
      <c r="L595" s="33"/>
      <c r="M595" s="33"/>
      <c r="N595" s="33"/>
      <c r="O595" s="33"/>
    </row>
    <row r="596" spans="4:15">
      <c r="D596" s="33"/>
      <c r="E596" s="33"/>
      <c r="F596" s="33"/>
      <c r="G596" s="33"/>
      <c r="H596" s="33"/>
      <c r="I596" s="33"/>
      <c r="J596" s="33"/>
      <c r="K596" s="33"/>
      <c r="L596" s="33"/>
      <c r="M596" s="33"/>
      <c r="N596" s="33"/>
      <c r="O596" s="33"/>
    </row>
    <row r="597" spans="4:15">
      <c r="D597" s="33"/>
      <c r="E597" s="33"/>
      <c r="F597" s="33"/>
      <c r="G597" s="33"/>
      <c r="H597" s="33"/>
      <c r="I597" s="33"/>
      <c r="J597" s="33"/>
      <c r="K597" s="33"/>
      <c r="L597" s="33"/>
      <c r="M597" s="33"/>
      <c r="N597" s="33"/>
      <c r="O597" s="33"/>
    </row>
    <row r="598" spans="4:15">
      <c r="D598" s="33"/>
      <c r="E598" s="33"/>
      <c r="F598" s="33"/>
      <c r="G598" s="33"/>
      <c r="H598" s="33"/>
      <c r="I598" s="33"/>
      <c r="J598" s="33"/>
      <c r="K598" s="33"/>
      <c r="L598" s="33"/>
      <c r="M598" s="33"/>
      <c r="N598" s="33"/>
      <c r="O598" s="33"/>
    </row>
    <row r="599" spans="4:15">
      <c r="D599" s="33"/>
      <c r="E599" s="33"/>
      <c r="F599" s="33"/>
      <c r="G599" s="33"/>
      <c r="H599" s="33"/>
      <c r="I599" s="33"/>
      <c r="J599" s="33"/>
      <c r="K599" s="33"/>
      <c r="L599" s="33"/>
      <c r="M599" s="33"/>
      <c r="N599" s="33"/>
      <c r="O599" s="33"/>
    </row>
    <row r="600" spans="4:15">
      <c r="D600" s="33"/>
      <c r="E600" s="33"/>
      <c r="F600" s="33"/>
      <c r="G600" s="33"/>
      <c r="H600" s="33"/>
      <c r="I600" s="33"/>
      <c r="J600" s="33"/>
      <c r="K600" s="33"/>
      <c r="L600" s="33"/>
      <c r="M600" s="33"/>
      <c r="N600" s="33"/>
      <c r="O600" s="33"/>
    </row>
    <row r="601" spans="4:15">
      <c r="D601" s="33"/>
      <c r="E601" s="33"/>
      <c r="F601" s="33"/>
      <c r="G601" s="33"/>
      <c r="H601" s="33"/>
      <c r="I601" s="33"/>
      <c r="J601" s="33"/>
      <c r="K601" s="33"/>
      <c r="L601" s="33"/>
      <c r="M601" s="33"/>
      <c r="N601" s="33"/>
      <c r="O601" s="33"/>
    </row>
    <row r="602" spans="4:15">
      <c r="D602" s="33"/>
      <c r="E602" s="33"/>
      <c r="F602" s="33"/>
      <c r="G602" s="33"/>
      <c r="H602" s="33"/>
      <c r="I602" s="33"/>
      <c r="J602" s="33"/>
      <c r="K602" s="33"/>
      <c r="L602" s="33"/>
      <c r="M602" s="33"/>
      <c r="N602" s="33"/>
      <c r="O602" s="33"/>
    </row>
    <row r="603" spans="4:15">
      <c r="D603" s="33"/>
      <c r="E603" s="33"/>
      <c r="F603" s="33"/>
      <c r="G603" s="33"/>
      <c r="H603" s="33"/>
      <c r="I603" s="33"/>
      <c r="J603" s="33"/>
      <c r="K603" s="33"/>
      <c r="L603" s="33"/>
      <c r="M603" s="33"/>
      <c r="N603" s="33"/>
      <c r="O603" s="33"/>
    </row>
    <row r="604" spans="4:15">
      <c r="D604" s="33"/>
      <c r="E604" s="33"/>
      <c r="F604" s="33"/>
      <c r="G604" s="33"/>
      <c r="H604" s="33"/>
      <c r="I604" s="33"/>
      <c r="J604" s="33"/>
      <c r="K604" s="33"/>
      <c r="L604" s="33"/>
      <c r="M604" s="33"/>
      <c r="N604" s="33"/>
      <c r="O604" s="33"/>
    </row>
    <row r="605" spans="4:15">
      <c r="D605" s="33"/>
      <c r="E605" s="33"/>
      <c r="F605" s="33"/>
      <c r="G605" s="33"/>
      <c r="H605" s="33"/>
      <c r="I605" s="33"/>
      <c r="J605" s="33"/>
      <c r="K605" s="33"/>
      <c r="L605" s="33"/>
      <c r="M605" s="33"/>
      <c r="N605" s="33"/>
      <c r="O605" s="33"/>
    </row>
    <row r="606" spans="4:15">
      <c r="D606" s="33"/>
      <c r="E606" s="33"/>
      <c r="F606" s="33"/>
      <c r="G606" s="33"/>
      <c r="H606" s="33"/>
      <c r="I606" s="33"/>
      <c r="J606" s="33"/>
      <c r="K606" s="33"/>
      <c r="L606" s="33"/>
      <c r="M606" s="33"/>
      <c r="N606" s="33"/>
      <c r="O606" s="33"/>
    </row>
    <row r="607" spans="4:15">
      <c r="D607" s="33"/>
      <c r="E607" s="33"/>
      <c r="F607" s="33"/>
      <c r="G607" s="33"/>
      <c r="H607" s="33"/>
      <c r="I607" s="33"/>
      <c r="J607" s="33"/>
      <c r="K607" s="33"/>
      <c r="L607" s="33"/>
      <c r="M607" s="33"/>
      <c r="N607" s="33"/>
      <c r="O607" s="33"/>
    </row>
    <row r="608" spans="4:15">
      <c r="D608" s="33"/>
      <c r="E608" s="33"/>
      <c r="F608" s="33"/>
      <c r="G608" s="33"/>
      <c r="H608" s="33"/>
      <c r="I608" s="33"/>
      <c r="J608" s="33"/>
      <c r="K608" s="33"/>
      <c r="L608" s="33"/>
      <c r="M608" s="33"/>
      <c r="N608" s="33"/>
      <c r="O608" s="33"/>
    </row>
    <row r="609" spans="4:15">
      <c r="D609" s="33"/>
      <c r="E609" s="33"/>
      <c r="F609" s="33"/>
      <c r="G609" s="33"/>
      <c r="H609" s="33"/>
      <c r="I609" s="33"/>
      <c r="J609" s="33"/>
      <c r="K609" s="33"/>
      <c r="L609" s="33"/>
      <c r="M609" s="33"/>
      <c r="N609" s="33"/>
      <c r="O609" s="33"/>
    </row>
    <row r="610" spans="4:15">
      <c r="D610" s="33"/>
      <c r="E610" s="33"/>
      <c r="F610" s="33"/>
      <c r="G610" s="33"/>
      <c r="H610" s="33"/>
      <c r="I610" s="33"/>
      <c r="J610" s="33"/>
      <c r="K610" s="33"/>
      <c r="L610" s="33"/>
      <c r="M610" s="33"/>
      <c r="N610" s="33"/>
      <c r="O610" s="33"/>
    </row>
    <row r="611" spans="4:15">
      <c r="D611" s="33"/>
      <c r="E611" s="33"/>
      <c r="F611" s="33"/>
      <c r="G611" s="33"/>
      <c r="H611" s="33"/>
      <c r="I611" s="33"/>
      <c r="J611" s="33"/>
      <c r="K611" s="33"/>
      <c r="L611" s="33"/>
      <c r="M611" s="33"/>
      <c r="N611" s="33"/>
      <c r="O611" s="33"/>
    </row>
    <row r="612" spans="4:15">
      <c r="D612" s="33"/>
      <c r="E612" s="33"/>
      <c r="F612" s="33"/>
      <c r="G612" s="33"/>
      <c r="H612" s="33"/>
      <c r="I612" s="33"/>
      <c r="J612" s="33"/>
      <c r="K612" s="33"/>
      <c r="L612" s="33"/>
      <c r="M612" s="33"/>
      <c r="N612" s="33"/>
      <c r="O612" s="33"/>
    </row>
    <row r="613" spans="4:15">
      <c r="D613" s="33"/>
      <c r="E613" s="33"/>
      <c r="F613" s="33"/>
      <c r="G613" s="33"/>
      <c r="H613" s="33"/>
      <c r="I613" s="33"/>
      <c r="J613" s="33"/>
      <c r="K613" s="33"/>
      <c r="L613" s="33"/>
      <c r="M613" s="33"/>
      <c r="N613" s="33"/>
      <c r="O613" s="33"/>
    </row>
    <row r="614" spans="4:15">
      <c r="D614" s="33"/>
      <c r="E614" s="33"/>
      <c r="F614" s="33"/>
      <c r="G614" s="33"/>
      <c r="H614" s="33"/>
      <c r="I614" s="33"/>
      <c r="J614" s="33"/>
      <c r="K614" s="33"/>
      <c r="L614" s="33"/>
      <c r="M614" s="33"/>
      <c r="N614" s="33"/>
      <c r="O614" s="33"/>
    </row>
    <row r="615" spans="4:15">
      <c r="D615" s="33"/>
      <c r="E615" s="33"/>
      <c r="F615" s="33"/>
      <c r="G615" s="33"/>
      <c r="H615" s="33"/>
      <c r="I615" s="33"/>
      <c r="J615" s="33"/>
      <c r="K615" s="33"/>
      <c r="L615" s="33"/>
      <c r="M615" s="33"/>
      <c r="N615" s="33"/>
      <c r="O615" s="33"/>
    </row>
    <row r="616" spans="4:15">
      <c r="D616" s="33"/>
      <c r="E616" s="33"/>
      <c r="F616" s="33"/>
      <c r="G616" s="33"/>
      <c r="H616" s="33"/>
      <c r="I616" s="33"/>
      <c r="J616" s="33"/>
      <c r="K616" s="33"/>
      <c r="L616" s="33"/>
      <c r="M616" s="33"/>
      <c r="N616" s="33"/>
      <c r="O616" s="33"/>
    </row>
    <row r="617" spans="4:15">
      <c r="D617" s="33"/>
      <c r="E617" s="33"/>
      <c r="F617" s="33"/>
      <c r="G617" s="33"/>
      <c r="H617" s="33"/>
      <c r="I617" s="33"/>
      <c r="J617" s="33"/>
      <c r="K617" s="33"/>
      <c r="L617" s="33"/>
      <c r="M617" s="33"/>
      <c r="N617" s="33"/>
      <c r="O617" s="33"/>
    </row>
    <row r="618" spans="4:15">
      <c r="D618" s="33"/>
      <c r="E618" s="33"/>
      <c r="F618" s="33"/>
      <c r="G618" s="33"/>
      <c r="H618" s="33"/>
      <c r="I618" s="33"/>
      <c r="J618" s="33"/>
      <c r="K618" s="33"/>
      <c r="L618" s="33"/>
      <c r="M618" s="33"/>
      <c r="N618" s="33"/>
      <c r="O618" s="33"/>
    </row>
    <row r="619" spans="4:15">
      <c r="D619" s="33"/>
      <c r="E619" s="33"/>
      <c r="F619" s="33"/>
      <c r="G619" s="33"/>
      <c r="H619" s="33"/>
      <c r="I619" s="33"/>
      <c r="J619" s="33"/>
      <c r="K619" s="33"/>
      <c r="L619" s="33"/>
      <c r="M619" s="33"/>
      <c r="N619" s="33"/>
      <c r="O619" s="33"/>
    </row>
    <row r="620" spans="4:15">
      <c r="D620" s="33"/>
      <c r="E620" s="33"/>
      <c r="F620" s="33"/>
      <c r="G620" s="33"/>
      <c r="H620" s="33"/>
      <c r="I620" s="33"/>
      <c r="J620" s="33"/>
      <c r="K620" s="33"/>
      <c r="L620" s="33"/>
      <c r="M620" s="33"/>
      <c r="N620" s="33"/>
      <c r="O620" s="33"/>
    </row>
    <row r="621" spans="4:15">
      <c r="D621" s="33"/>
      <c r="E621" s="33"/>
      <c r="F621" s="33"/>
      <c r="G621" s="33"/>
      <c r="H621" s="33"/>
      <c r="I621" s="33"/>
      <c r="J621" s="33"/>
      <c r="K621" s="33"/>
      <c r="L621" s="33"/>
      <c r="M621" s="33"/>
      <c r="N621" s="33"/>
      <c r="O621" s="33"/>
    </row>
    <row r="622" spans="4:15">
      <c r="D622" s="33"/>
      <c r="E622" s="33"/>
      <c r="F622" s="33"/>
      <c r="G622" s="33"/>
      <c r="H622" s="33"/>
      <c r="I622" s="33"/>
      <c r="J622" s="33"/>
      <c r="K622" s="33"/>
      <c r="L622" s="33"/>
      <c r="M622" s="33"/>
      <c r="N622" s="33"/>
      <c r="O622" s="33"/>
    </row>
    <row r="623" spans="4:15">
      <c r="D623" s="33"/>
      <c r="E623" s="33"/>
      <c r="F623" s="33"/>
      <c r="G623" s="33"/>
      <c r="H623" s="33"/>
      <c r="I623" s="33"/>
      <c r="J623" s="33"/>
      <c r="K623" s="33"/>
      <c r="L623" s="33"/>
      <c r="M623" s="33"/>
      <c r="N623" s="33"/>
      <c r="O623" s="33"/>
    </row>
    <row r="624" spans="4:15">
      <c r="D624" s="33"/>
      <c r="E624" s="33"/>
      <c r="F624" s="33"/>
      <c r="G624" s="33"/>
      <c r="H624" s="33"/>
      <c r="I624" s="33"/>
      <c r="J624" s="33"/>
      <c r="K624" s="33"/>
      <c r="L624" s="33"/>
      <c r="M624" s="33"/>
      <c r="N624" s="33"/>
      <c r="O624" s="33"/>
    </row>
    <row r="625" spans="4:15">
      <c r="D625" s="33"/>
      <c r="E625" s="33"/>
      <c r="F625" s="33"/>
      <c r="G625" s="33"/>
      <c r="H625" s="33"/>
      <c r="I625" s="33"/>
      <c r="J625" s="33"/>
      <c r="K625" s="33"/>
      <c r="L625" s="33"/>
      <c r="M625" s="33"/>
      <c r="N625" s="33"/>
      <c r="O625" s="33"/>
    </row>
    <row r="626" spans="4:15">
      <c r="D626" s="33"/>
      <c r="E626" s="33"/>
      <c r="F626" s="33"/>
      <c r="G626" s="33"/>
      <c r="H626" s="33"/>
      <c r="I626" s="33"/>
      <c r="J626" s="33"/>
      <c r="K626" s="33"/>
      <c r="L626" s="33"/>
      <c r="M626" s="33"/>
      <c r="N626" s="33"/>
      <c r="O626" s="33"/>
    </row>
    <row r="627" spans="4:15">
      <c r="D627" s="33"/>
      <c r="E627" s="33"/>
      <c r="F627" s="33"/>
      <c r="G627" s="33"/>
      <c r="H627" s="33"/>
      <c r="I627" s="33"/>
      <c r="J627" s="33"/>
      <c r="K627" s="33"/>
      <c r="L627" s="33"/>
      <c r="M627" s="33"/>
      <c r="N627" s="33"/>
      <c r="O627" s="33"/>
    </row>
    <row r="628" spans="4:15">
      <c r="D628" s="33"/>
      <c r="E628" s="33"/>
      <c r="F628" s="33"/>
      <c r="G628" s="33"/>
      <c r="H628" s="33"/>
      <c r="I628" s="33"/>
      <c r="J628" s="33"/>
      <c r="K628" s="33"/>
      <c r="L628" s="33"/>
      <c r="M628" s="33"/>
      <c r="N628" s="33"/>
      <c r="O628" s="33"/>
    </row>
    <row r="629" spans="4:15">
      <c r="D629" s="33"/>
      <c r="E629" s="33"/>
      <c r="F629" s="33"/>
      <c r="G629" s="33"/>
      <c r="H629" s="33"/>
      <c r="I629" s="33"/>
      <c r="J629" s="33"/>
      <c r="K629" s="33"/>
      <c r="L629" s="33"/>
      <c r="M629" s="33"/>
      <c r="N629" s="33"/>
      <c r="O629" s="33"/>
    </row>
    <row r="630" spans="4:15">
      <c r="D630" s="33"/>
      <c r="E630" s="33"/>
      <c r="F630" s="33"/>
      <c r="G630" s="33"/>
      <c r="H630" s="33"/>
      <c r="I630" s="33"/>
      <c r="J630" s="33"/>
      <c r="K630" s="33"/>
      <c r="L630" s="33"/>
      <c r="M630" s="33"/>
      <c r="N630" s="33"/>
      <c r="O630" s="33"/>
    </row>
    <row r="631" spans="4:15">
      <c r="D631" s="33"/>
      <c r="E631" s="33"/>
      <c r="F631" s="33"/>
      <c r="G631" s="33"/>
      <c r="H631" s="33"/>
      <c r="I631" s="33"/>
      <c r="J631" s="33"/>
      <c r="K631" s="33"/>
      <c r="L631" s="33"/>
      <c r="M631" s="33"/>
      <c r="N631" s="33"/>
      <c r="O631" s="33"/>
    </row>
    <row r="632" spans="4:15">
      <c r="D632" s="33"/>
      <c r="E632" s="33"/>
      <c r="F632" s="33"/>
      <c r="G632" s="33"/>
      <c r="H632" s="33"/>
      <c r="I632" s="33"/>
      <c r="J632" s="33"/>
      <c r="K632" s="33"/>
      <c r="L632" s="33"/>
      <c r="M632" s="33"/>
      <c r="N632" s="33"/>
      <c r="O632" s="33"/>
    </row>
    <row r="633" spans="4:15">
      <c r="D633" s="33"/>
      <c r="E633" s="33"/>
      <c r="F633" s="33"/>
      <c r="G633" s="33"/>
      <c r="H633" s="33"/>
      <c r="I633" s="33"/>
      <c r="J633" s="33"/>
      <c r="K633" s="33"/>
      <c r="L633" s="33"/>
      <c r="M633" s="33"/>
      <c r="N633" s="33"/>
      <c r="O633" s="33"/>
    </row>
    <row r="634" spans="4:15">
      <c r="D634" s="33"/>
      <c r="E634" s="33"/>
      <c r="F634" s="33"/>
      <c r="G634" s="33"/>
      <c r="H634" s="33"/>
      <c r="I634" s="33"/>
      <c r="J634" s="33"/>
      <c r="K634" s="33"/>
      <c r="L634" s="33"/>
      <c r="M634" s="33"/>
      <c r="N634" s="33"/>
      <c r="O634" s="33"/>
    </row>
    <row r="635" spans="4:15">
      <c r="D635" s="33"/>
      <c r="E635" s="33"/>
      <c r="F635" s="33"/>
      <c r="G635" s="33"/>
      <c r="H635" s="33"/>
      <c r="I635" s="33"/>
      <c r="J635" s="33"/>
      <c r="K635" s="33"/>
      <c r="L635" s="33"/>
      <c r="M635" s="33"/>
      <c r="N635" s="33"/>
      <c r="O635" s="33"/>
    </row>
    <row r="636" spans="4:15">
      <c r="D636" s="33"/>
      <c r="E636" s="33"/>
      <c r="F636" s="33"/>
      <c r="G636" s="33"/>
      <c r="H636" s="33"/>
      <c r="I636" s="33"/>
      <c r="J636" s="33"/>
      <c r="K636" s="33"/>
      <c r="L636" s="33"/>
      <c r="M636" s="33"/>
      <c r="N636" s="33"/>
      <c r="O636" s="33"/>
    </row>
    <row r="637" spans="4:15">
      <c r="D637" s="33"/>
      <c r="E637" s="33"/>
      <c r="F637" s="33"/>
      <c r="G637" s="33"/>
      <c r="H637" s="33"/>
      <c r="I637" s="33"/>
      <c r="J637" s="33"/>
      <c r="K637" s="33"/>
      <c r="L637" s="33"/>
      <c r="M637" s="33"/>
      <c r="N637" s="33"/>
      <c r="O637" s="33"/>
    </row>
    <row r="638" spans="4:15">
      <c r="D638" s="33"/>
      <c r="E638" s="33"/>
      <c r="F638" s="33"/>
      <c r="G638" s="33"/>
      <c r="H638" s="33"/>
      <c r="I638" s="33"/>
      <c r="J638" s="33"/>
      <c r="K638" s="33"/>
      <c r="L638" s="33"/>
      <c r="M638" s="33"/>
      <c r="N638" s="33"/>
      <c r="O638" s="33"/>
    </row>
    <row r="639" spans="4:15">
      <c r="D639" s="33"/>
      <c r="E639" s="33"/>
      <c r="F639" s="33"/>
      <c r="G639" s="33"/>
      <c r="H639" s="33"/>
      <c r="I639" s="33"/>
      <c r="J639" s="33"/>
      <c r="K639" s="33"/>
      <c r="L639" s="33"/>
      <c r="M639" s="33"/>
      <c r="N639" s="33"/>
      <c r="O639" s="33"/>
    </row>
    <row r="640" spans="4:15">
      <c r="D640" s="33"/>
      <c r="E640" s="33"/>
      <c r="F640" s="33"/>
      <c r="G640" s="33"/>
      <c r="H640" s="33"/>
      <c r="I640" s="33"/>
      <c r="J640" s="33"/>
      <c r="K640" s="33"/>
      <c r="L640" s="33"/>
      <c r="M640" s="33"/>
      <c r="N640" s="33"/>
      <c r="O640" s="33"/>
    </row>
    <row r="641" spans="4:15">
      <c r="D641" s="33"/>
      <c r="E641" s="33"/>
      <c r="F641" s="33"/>
      <c r="G641" s="33"/>
      <c r="H641" s="33"/>
      <c r="I641" s="33"/>
      <c r="J641" s="33"/>
      <c r="K641" s="33"/>
      <c r="L641" s="33"/>
      <c r="M641" s="33"/>
      <c r="N641" s="33"/>
      <c r="O641" s="33"/>
    </row>
    <row r="642" spans="4:15">
      <c r="D642" s="33"/>
      <c r="E642" s="33"/>
      <c r="F642" s="33"/>
      <c r="G642" s="33"/>
      <c r="H642" s="33"/>
      <c r="I642" s="33"/>
      <c r="J642" s="33"/>
      <c r="K642" s="33"/>
      <c r="L642" s="33"/>
      <c r="M642" s="33"/>
      <c r="N642" s="33"/>
      <c r="O642" s="33"/>
    </row>
    <row r="643" spans="4:15">
      <c r="D643" s="33"/>
      <c r="E643" s="33"/>
      <c r="F643" s="33"/>
      <c r="G643" s="33"/>
      <c r="H643" s="33"/>
      <c r="I643" s="33"/>
      <c r="J643" s="33"/>
      <c r="K643" s="33"/>
      <c r="L643" s="33"/>
      <c r="M643" s="33"/>
      <c r="N643" s="33"/>
      <c r="O643" s="33"/>
    </row>
    <row r="644" spans="4:15">
      <c r="D644" s="33"/>
      <c r="E644" s="33"/>
      <c r="F644" s="33"/>
      <c r="G644" s="33"/>
      <c r="H644" s="33"/>
      <c r="I644" s="33"/>
      <c r="J644" s="33"/>
      <c r="K644" s="33"/>
      <c r="L644" s="33"/>
      <c r="M644" s="33"/>
      <c r="N644" s="33"/>
      <c r="O644" s="33"/>
    </row>
    <row r="645" spans="4:15">
      <c r="D645" s="33"/>
      <c r="E645" s="33"/>
      <c r="F645" s="33"/>
      <c r="G645" s="33"/>
      <c r="H645" s="33"/>
      <c r="I645" s="33"/>
      <c r="J645" s="33"/>
      <c r="K645" s="33"/>
      <c r="L645" s="33"/>
      <c r="M645" s="33"/>
      <c r="N645" s="33"/>
      <c r="O645" s="33"/>
    </row>
    <row r="646" spans="4:15">
      <c r="D646" s="33"/>
      <c r="E646" s="33"/>
      <c r="F646" s="33"/>
      <c r="G646" s="33"/>
      <c r="H646" s="33"/>
      <c r="I646" s="33"/>
      <c r="J646" s="33"/>
      <c r="K646" s="33"/>
      <c r="L646" s="33"/>
      <c r="M646" s="33"/>
      <c r="N646" s="33"/>
      <c r="O646" s="33"/>
    </row>
    <row r="647" spans="4:15">
      <c r="D647" s="33"/>
      <c r="E647" s="33"/>
      <c r="F647" s="33"/>
      <c r="G647" s="33"/>
      <c r="H647" s="33"/>
      <c r="I647" s="33"/>
      <c r="J647" s="33"/>
      <c r="K647" s="33"/>
      <c r="L647" s="33"/>
      <c r="M647" s="33"/>
      <c r="N647" s="33"/>
      <c r="O647" s="33"/>
    </row>
    <row r="648" spans="4:15">
      <c r="D648" s="33"/>
      <c r="E648" s="33"/>
      <c r="F648" s="33"/>
      <c r="G648" s="33"/>
      <c r="H648" s="33"/>
      <c r="I648" s="33"/>
      <c r="J648" s="33"/>
      <c r="K648" s="33"/>
      <c r="L648" s="33"/>
      <c r="M648" s="33"/>
      <c r="N648" s="33"/>
      <c r="O648" s="33"/>
    </row>
    <row r="649" spans="4:15">
      <c r="D649" s="33"/>
      <c r="E649" s="33"/>
      <c r="F649" s="33"/>
      <c r="G649" s="33"/>
      <c r="H649" s="33"/>
      <c r="I649" s="33"/>
      <c r="J649" s="33"/>
      <c r="K649" s="33"/>
      <c r="L649" s="33"/>
      <c r="M649" s="33"/>
      <c r="N649" s="33"/>
      <c r="O649" s="33"/>
    </row>
    <row r="650" spans="4:15">
      <c r="D650" s="33"/>
      <c r="E650" s="33"/>
      <c r="F650" s="33"/>
      <c r="G650" s="33"/>
      <c r="H650" s="33"/>
      <c r="I650" s="33"/>
      <c r="J650" s="33"/>
      <c r="K650" s="33"/>
      <c r="L650" s="33"/>
      <c r="M650" s="33"/>
      <c r="N650" s="33"/>
      <c r="O650" s="33"/>
    </row>
    <row r="651" spans="4:15">
      <c r="D651" s="33"/>
      <c r="E651" s="33"/>
      <c r="F651" s="33"/>
      <c r="G651" s="33"/>
      <c r="H651" s="33"/>
      <c r="I651" s="33"/>
      <c r="J651" s="33"/>
      <c r="K651" s="33"/>
      <c r="L651" s="33"/>
      <c r="M651" s="33"/>
      <c r="N651" s="33"/>
      <c r="O651" s="33"/>
    </row>
    <row r="652" spans="4:15">
      <c r="D652" s="33"/>
      <c r="E652" s="33"/>
      <c r="F652" s="33"/>
      <c r="G652" s="33"/>
      <c r="H652" s="33"/>
      <c r="I652" s="33"/>
      <c r="J652" s="33"/>
      <c r="K652" s="33"/>
      <c r="L652" s="33"/>
      <c r="M652" s="33"/>
      <c r="N652" s="33"/>
      <c r="O652" s="33"/>
    </row>
    <row r="653" spans="4:15">
      <c r="D653" s="33"/>
      <c r="E653" s="33"/>
      <c r="F653" s="33"/>
      <c r="G653" s="33"/>
      <c r="H653" s="33"/>
      <c r="I653" s="33"/>
      <c r="J653" s="33"/>
      <c r="K653" s="33"/>
      <c r="L653" s="33"/>
      <c r="M653" s="33"/>
      <c r="N653" s="33"/>
      <c r="O653" s="33"/>
    </row>
    <row r="654" spans="4:15">
      <c r="D654" s="33"/>
      <c r="E654" s="33"/>
      <c r="F654" s="33"/>
      <c r="G654" s="33"/>
      <c r="H654" s="33"/>
      <c r="I654" s="33"/>
      <c r="J654" s="33"/>
      <c r="K654" s="33"/>
      <c r="L654" s="33"/>
      <c r="M654" s="33"/>
      <c r="N654" s="33"/>
      <c r="O654" s="33"/>
    </row>
    <row r="655" spans="4:15">
      <c r="D655" s="33"/>
      <c r="E655" s="33"/>
      <c r="F655" s="33"/>
      <c r="G655" s="33"/>
      <c r="H655" s="33"/>
      <c r="I655" s="33"/>
      <c r="J655" s="33"/>
      <c r="K655" s="33"/>
      <c r="L655" s="33"/>
      <c r="M655" s="33"/>
      <c r="N655" s="33"/>
      <c r="O655" s="33"/>
    </row>
    <row r="656" spans="4:15">
      <c r="D656" s="33"/>
      <c r="E656" s="33"/>
      <c r="F656" s="33"/>
      <c r="G656" s="33"/>
      <c r="H656" s="33"/>
      <c r="I656" s="33"/>
      <c r="J656" s="33"/>
      <c r="K656" s="33"/>
      <c r="L656" s="33"/>
      <c r="M656" s="33"/>
      <c r="N656" s="33"/>
      <c r="O656" s="33"/>
    </row>
    <row r="657" spans="4:15">
      <c r="D657" s="33"/>
      <c r="E657" s="33"/>
      <c r="F657" s="33"/>
      <c r="G657" s="33"/>
      <c r="H657" s="33"/>
      <c r="I657" s="33"/>
      <c r="J657" s="33"/>
      <c r="K657" s="33"/>
      <c r="L657" s="33"/>
      <c r="M657" s="33"/>
      <c r="N657" s="33"/>
      <c r="O657" s="33"/>
    </row>
    <row r="658" spans="4:15">
      <c r="D658" s="33"/>
      <c r="E658" s="33"/>
      <c r="F658" s="33"/>
      <c r="G658" s="33"/>
      <c r="H658" s="33"/>
      <c r="I658" s="33"/>
      <c r="J658" s="33"/>
      <c r="K658" s="33"/>
      <c r="L658" s="33"/>
      <c r="M658" s="33"/>
      <c r="N658" s="33"/>
      <c r="O658" s="33"/>
    </row>
    <row r="659" spans="4:15">
      <c r="D659" s="33"/>
      <c r="E659" s="33"/>
      <c r="F659" s="33"/>
      <c r="G659" s="33"/>
      <c r="H659" s="33"/>
      <c r="I659" s="33"/>
      <c r="J659" s="33"/>
      <c r="K659" s="33"/>
      <c r="L659" s="33"/>
      <c r="M659" s="33"/>
      <c r="N659" s="33"/>
      <c r="O659" s="33"/>
    </row>
    <row r="660" spans="4:15">
      <c r="D660" s="33"/>
      <c r="E660" s="33"/>
      <c r="F660" s="33"/>
      <c r="G660" s="33"/>
      <c r="H660" s="33"/>
      <c r="I660" s="33"/>
      <c r="J660" s="33"/>
      <c r="K660" s="33"/>
      <c r="L660" s="33"/>
      <c r="M660" s="33"/>
      <c r="N660" s="33"/>
      <c r="O660" s="33"/>
    </row>
    <row r="661" spans="4:15">
      <c r="D661" s="33"/>
      <c r="E661" s="33"/>
      <c r="F661" s="33"/>
      <c r="G661" s="33"/>
      <c r="H661" s="33"/>
      <c r="I661" s="33"/>
      <c r="J661" s="33"/>
      <c r="K661" s="33"/>
      <c r="L661" s="33"/>
      <c r="M661" s="33"/>
      <c r="N661" s="33"/>
      <c r="O661" s="33"/>
    </row>
    <row r="662" spans="4:15">
      <c r="D662" s="33"/>
      <c r="E662" s="33"/>
      <c r="F662" s="33"/>
      <c r="G662" s="33"/>
      <c r="H662" s="33"/>
      <c r="I662" s="33"/>
      <c r="J662" s="33"/>
      <c r="K662" s="33"/>
      <c r="L662" s="33"/>
      <c r="M662" s="33"/>
      <c r="N662" s="33"/>
      <c r="O662" s="33"/>
    </row>
    <row r="663" spans="4:15">
      <c r="D663" s="33"/>
      <c r="E663" s="33"/>
      <c r="F663" s="33"/>
      <c r="G663" s="33"/>
      <c r="H663" s="33"/>
      <c r="I663" s="33"/>
      <c r="J663" s="33"/>
      <c r="K663" s="33"/>
      <c r="L663" s="33"/>
      <c r="M663" s="33"/>
      <c r="N663" s="33"/>
      <c r="O663" s="33"/>
    </row>
    <row r="664" spans="4:15">
      <c r="D664" s="33"/>
      <c r="E664" s="33"/>
      <c r="F664" s="33"/>
      <c r="G664" s="33"/>
      <c r="H664" s="33"/>
      <c r="I664" s="33"/>
      <c r="J664" s="33"/>
      <c r="K664" s="33"/>
      <c r="L664" s="33"/>
      <c r="M664" s="33"/>
      <c r="N664" s="33"/>
      <c r="O664" s="33"/>
    </row>
    <row r="665" spans="4:15">
      <c r="D665" s="33"/>
      <c r="E665" s="33"/>
      <c r="F665" s="33"/>
      <c r="G665" s="33"/>
      <c r="H665" s="33"/>
      <c r="I665" s="33"/>
      <c r="J665" s="33"/>
      <c r="K665" s="33"/>
      <c r="L665" s="33"/>
      <c r="M665" s="33"/>
      <c r="N665" s="33"/>
      <c r="O665" s="33"/>
    </row>
    <row r="666" spans="4:15">
      <c r="D666" s="33"/>
      <c r="E666" s="33"/>
      <c r="F666" s="33"/>
      <c r="G666" s="33"/>
      <c r="H666" s="33"/>
      <c r="I666" s="33"/>
      <c r="J666" s="33"/>
      <c r="K666" s="33"/>
      <c r="L666" s="33"/>
      <c r="M666" s="33"/>
      <c r="N666" s="33"/>
      <c r="O666" s="33"/>
    </row>
    <row r="667" spans="4:15">
      <c r="D667" s="33"/>
      <c r="E667" s="33"/>
      <c r="F667" s="33"/>
      <c r="G667" s="33"/>
      <c r="H667" s="33"/>
      <c r="I667" s="33"/>
      <c r="J667" s="33"/>
      <c r="K667" s="33"/>
      <c r="L667" s="33"/>
      <c r="M667" s="33"/>
      <c r="N667" s="33"/>
      <c r="O667" s="33"/>
    </row>
    <row r="668" spans="4:15">
      <c r="D668" s="33"/>
      <c r="E668" s="33"/>
      <c r="F668" s="33"/>
      <c r="G668" s="33"/>
      <c r="H668" s="33"/>
      <c r="I668" s="33"/>
      <c r="J668" s="33"/>
      <c r="K668" s="33"/>
      <c r="L668" s="33"/>
      <c r="M668" s="33"/>
      <c r="N668" s="33"/>
      <c r="O668" s="33"/>
    </row>
    <row r="669" spans="4:15">
      <c r="D669" s="33"/>
      <c r="E669" s="33"/>
      <c r="F669" s="33"/>
      <c r="G669" s="33"/>
      <c r="H669" s="33"/>
      <c r="I669" s="33"/>
      <c r="J669" s="33"/>
      <c r="K669" s="33"/>
      <c r="L669" s="33"/>
      <c r="M669" s="33"/>
      <c r="N669" s="33"/>
      <c r="O669" s="33"/>
    </row>
    <row r="670" spans="4:15">
      <c r="D670" s="33"/>
      <c r="E670" s="33"/>
      <c r="F670" s="33"/>
      <c r="G670" s="33"/>
      <c r="H670" s="33"/>
      <c r="I670" s="33"/>
      <c r="J670" s="33"/>
      <c r="K670" s="33"/>
      <c r="L670" s="33"/>
      <c r="M670" s="33"/>
      <c r="N670" s="33"/>
      <c r="O670" s="33"/>
    </row>
    <row r="671" spans="4:15">
      <c r="D671" s="33"/>
      <c r="E671" s="33"/>
      <c r="F671" s="33"/>
      <c r="G671" s="33"/>
      <c r="H671" s="33"/>
      <c r="I671" s="33"/>
      <c r="J671" s="33"/>
      <c r="K671" s="33"/>
      <c r="L671" s="33"/>
      <c r="M671" s="33"/>
      <c r="N671" s="33"/>
      <c r="O671" s="33"/>
    </row>
    <row r="672" spans="4:15">
      <c r="D672" s="33"/>
      <c r="E672" s="33"/>
      <c r="F672" s="33"/>
      <c r="G672" s="33"/>
      <c r="H672" s="33"/>
      <c r="I672" s="33"/>
      <c r="J672" s="33"/>
      <c r="K672" s="33"/>
      <c r="L672" s="33"/>
      <c r="M672" s="33"/>
      <c r="N672" s="33"/>
      <c r="O672" s="33"/>
    </row>
    <row r="673" spans="4:15">
      <c r="D673" s="33"/>
      <c r="E673" s="33"/>
      <c r="F673" s="33"/>
      <c r="G673" s="33"/>
      <c r="H673" s="33"/>
      <c r="I673" s="33"/>
      <c r="J673" s="33"/>
      <c r="K673" s="33"/>
      <c r="L673" s="33"/>
      <c r="M673" s="33"/>
      <c r="N673" s="33"/>
      <c r="O673" s="33"/>
    </row>
    <row r="674" spans="4:15">
      <c r="D674" s="33"/>
      <c r="E674" s="33"/>
      <c r="F674" s="33"/>
      <c r="G674" s="33"/>
      <c r="H674" s="33"/>
      <c r="I674" s="33"/>
      <c r="J674" s="33"/>
      <c r="K674" s="33"/>
      <c r="L674" s="33"/>
      <c r="M674" s="33"/>
      <c r="N674" s="33"/>
      <c r="O674" s="33"/>
    </row>
    <row r="675" spans="4:15">
      <c r="D675" s="33"/>
      <c r="E675" s="33"/>
      <c r="F675" s="33"/>
      <c r="G675" s="33"/>
      <c r="H675" s="33"/>
      <c r="I675" s="33"/>
      <c r="J675" s="33"/>
      <c r="K675" s="33"/>
      <c r="L675" s="33"/>
      <c r="M675" s="33"/>
      <c r="N675" s="33"/>
      <c r="O675" s="33"/>
    </row>
    <row r="676" spans="4:15">
      <c r="D676" s="33"/>
      <c r="E676" s="33"/>
      <c r="F676" s="33"/>
      <c r="G676" s="33"/>
      <c r="H676" s="33"/>
      <c r="I676" s="33"/>
      <c r="J676" s="33"/>
      <c r="K676" s="33"/>
      <c r="L676" s="33"/>
      <c r="M676" s="33"/>
      <c r="N676" s="33"/>
      <c r="O676" s="33"/>
    </row>
    <row r="677" spans="4:15">
      <c r="D677" s="33"/>
      <c r="E677" s="33"/>
      <c r="F677" s="33"/>
      <c r="G677" s="33"/>
      <c r="H677" s="33"/>
      <c r="I677" s="33"/>
      <c r="J677" s="33"/>
      <c r="K677" s="33"/>
      <c r="L677" s="33"/>
      <c r="M677" s="33"/>
      <c r="N677" s="33"/>
      <c r="O677" s="33"/>
    </row>
    <row r="678" spans="4:15">
      <c r="D678" s="33"/>
      <c r="E678" s="33"/>
      <c r="F678" s="33"/>
      <c r="G678" s="33"/>
      <c r="H678" s="33"/>
      <c r="I678" s="33"/>
      <c r="J678" s="33"/>
      <c r="K678" s="33"/>
      <c r="L678" s="33"/>
      <c r="M678" s="33"/>
      <c r="N678" s="33"/>
      <c r="O678" s="33"/>
    </row>
    <row r="679" spans="4:15">
      <c r="D679" s="33"/>
      <c r="E679" s="33"/>
      <c r="F679" s="33"/>
      <c r="G679" s="33"/>
      <c r="H679" s="33"/>
      <c r="I679" s="33"/>
      <c r="J679" s="33"/>
      <c r="K679" s="33"/>
      <c r="L679" s="33"/>
      <c r="M679" s="33"/>
      <c r="N679" s="33"/>
      <c r="O679" s="33"/>
    </row>
    <row r="680" spans="4:15">
      <c r="D680" s="33"/>
      <c r="E680" s="33"/>
      <c r="F680" s="33"/>
      <c r="G680" s="33"/>
      <c r="H680" s="33"/>
      <c r="I680" s="33"/>
      <c r="J680" s="33"/>
      <c r="K680" s="33"/>
      <c r="L680" s="33"/>
      <c r="M680" s="33"/>
      <c r="N680" s="33"/>
      <c r="O680" s="33"/>
    </row>
    <row r="681" spans="4:15">
      <c r="D681" s="33"/>
      <c r="E681" s="33"/>
      <c r="F681" s="33"/>
      <c r="G681" s="33"/>
      <c r="H681" s="33"/>
      <c r="I681" s="33"/>
      <c r="J681" s="33"/>
      <c r="K681" s="33"/>
      <c r="L681" s="33"/>
      <c r="M681" s="33"/>
      <c r="N681" s="33"/>
      <c r="O681" s="33"/>
    </row>
    <row r="682" spans="4:15">
      <c r="D682" s="33"/>
      <c r="E682" s="33"/>
      <c r="F682" s="33"/>
      <c r="G682" s="33"/>
      <c r="H682" s="33"/>
      <c r="I682" s="33"/>
      <c r="J682" s="33"/>
      <c r="K682" s="33"/>
      <c r="L682" s="33"/>
      <c r="M682" s="33"/>
      <c r="N682" s="33"/>
      <c r="O682" s="33"/>
    </row>
    <row r="683" spans="4:15">
      <c r="D683" s="33"/>
      <c r="E683" s="33"/>
      <c r="F683" s="33"/>
      <c r="G683" s="33"/>
      <c r="H683" s="33"/>
      <c r="I683" s="33"/>
      <c r="J683" s="33"/>
      <c r="K683" s="33"/>
      <c r="L683" s="33"/>
      <c r="M683" s="33"/>
      <c r="N683" s="33"/>
      <c r="O683" s="33"/>
    </row>
    <row r="684" spans="4:15">
      <c r="D684" s="33"/>
      <c r="E684" s="33"/>
      <c r="F684" s="33"/>
      <c r="G684" s="33"/>
      <c r="H684" s="33"/>
      <c r="I684" s="33"/>
      <c r="J684" s="33"/>
      <c r="K684" s="33"/>
      <c r="L684" s="33"/>
      <c r="M684" s="33"/>
      <c r="N684" s="33"/>
      <c r="O684" s="33"/>
    </row>
    <row r="685" spans="4:15">
      <c r="D685" s="33"/>
      <c r="E685" s="33"/>
      <c r="F685" s="33"/>
      <c r="G685" s="33"/>
      <c r="H685" s="33"/>
      <c r="I685" s="33"/>
      <c r="J685" s="33"/>
      <c r="K685" s="33"/>
      <c r="L685" s="33"/>
      <c r="M685" s="33"/>
      <c r="N685" s="33"/>
      <c r="O685" s="33"/>
    </row>
    <row r="686" spans="4:15">
      <c r="D686" s="33"/>
      <c r="E686" s="33"/>
      <c r="F686" s="33"/>
      <c r="G686" s="33"/>
      <c r="H686" s="33"/>
      <c r="I686" s="33"/>
      <c r="J686" s="33"/>
      <c r="K686" s="33"/>
      <c r="L686" s="33"/>
      <c r="M686" s="33"/>
      <c r="N686" s="33"/>
      <c r="O686" s="33"/>
    </row>
    <row r="687" spans="4:15">
      <c r="D687" s="33"/>
      <c r="E687" s="33"/>
      <c r="F687" s="33"/>
      <c r="G687" s="33"/>
      <c r="H687" s="33"/>
      <c r="I687" s="33"/>
      <c r="J687" s="33"/>
      <c r="K687" s="33"/>
      <c r="L687" s="33"/>
      <c r="M687" s="33"/>
      <c r="N687" s="33"/>
      <c r="O687" s="33"/>
    </row>
    <row r="688" spans="4:15">
      <c r="D688" s="33"/>
      <c r="E688" s="33"/>
      <c r="F688" s="33"/>
      <c r="G688" s="33"/>
      <c r="H688" s="33"/>
      <c r="I688" s="33"/>
      <c r="J688" s="33"/>
      <c r="K688" s="33"/>
      <c r="L688" s="33"/>
      <c r="M688" s="33"/>
      <c r="N688" s="33"/>
      <c r="O688" s="33"/>
    </row>
    <row r="689" spans="4:15">
      <c r="D689" s="33"/>
      <c r="E689" s="33"/>
      <c r="F689" s="33"/>
      <c r="G689" s="33"/>
      <c r="H689" s="33"/>
      <c r="I689" s="33"/>
      <c r="J689" s="33"/>
      <c r="K689" s="33"/>
      <c r="L689" s="33"/>
      <c r="M689" s="33"/>
      <c r="N689" s="33"/>
      <c r="O689" s="33"/>
    </row>
    <row r="690" spans="4:15">
      <c r="D690" s="33"/>
      <c r="E690" s="33"/>
      <c r="F690" s="33"/>
      <c r="G690" s="33"/>
      <c r="H690" s="33"/>
      <c r="I690" s="33"/>
      <c r="J690" s="33"/>
      <c r="K690" s="33"/>
      <c r="L690" s="33"/>
      <c r="M690" s="33"/>
      <c r="N690" s="33"/>
      <c r="O690" s="33"/>
    </row>
    <row r="691" spans="4:15">
      <c r="D691" s="33"/>
      <c r="E691" s="33"/>
      <c r="F691" s="33"/>
      <c r="G691" s="33"/>
      <c r="H691" s="33"/>
      <c r="I691" s="33"/>
      <c r="J691" s="33"/>
      <c r="K691" s="33"/>
      <c r="L691" s="33"/>
      <c r="M691" s="33"/>
      <c r="N691" s="33"/>
      <c r="O691" s="33"/>
    </row>
    <row r="692" spans="4:15">
      <c r="D692" s="33"/>
      <c r="E692" s="33"/>
      <c r="F692" s="33"/>
      <c r="G692" s="33"/>
      <c r="H692" s="33"/>
      <c r="I692" s="33"/>
      <c r="J692" s="33"/>
      <c r="K692" s="33"/>
      <c r="L692" s="33"/>
      <c r="M692" s="33"/>
      <c r="N692" s="33"/>
      <c r="O692" s="33"/>
    </row>
    <row r="693" spans="4:15">
      <c r="D693" s="33"/>
      <c r="E693" s="33"/>
      <c r="F693" s="33"/>
      <c r="G693" s="33"/>
      <c r="H693" s="33"/>
      <c r="I693" s="33"/>
      <c r="J693" s="33"/>
      <c r="K693" s="33"/>
      <c r="L693" s="33"/>
      <c r="M693" s="33"/>
      <c r="N693" s="33"/>
      <c r="O693" s="33"/>
    </row>
    <row r="694" spans="4:15">
      <c r="D694" s="33"/>
      <c r="E694" s="33"/>
      <c r="F694" s="33"/>
      <c r="G694" s="33"/>
      <c r="H694" s="33"/>
      <c r="I694" s="33"/>
      <c r="J694" s="33"/>
      <c r="K694" s="33"/>
      <c r="L694" s="33"/>
      <c r="M694" s="33"/>
      <c r="N694" s="33"/>
      <c r="O694" s="33"/>
    </row>
    <row r="695" spans="4:15">
      <c r="D695" s="33"/>
      <c r="E695" s="33"/>
      <c r="F695" s="33"/>
      <c r="G695" s="33"/>
      <c r="H695" s="33"/>
      <c r="I695" s="33"/>
      <c r="J695" s="33"/>
      <c r="K695" s="33"/>
      <c r="L695" s="33"/>
      <c r="M695" s="33"/>
      <c r="N695" s="33"/>
      <c r="O695" s="33"/>
    </row>
    <row r="696" spans="4:15">
      <c r="D696" s="33"/>
      <c r="E696" s="33"/>
      <c r="F696" s="33"/>
      <c r="G696" s="33"/>
      <c r="H696" s="33"/>
      <c r="I696" s="33"/>
      <c r="J696" s="33"/>
      <c r="K696" s="33"/>
      <c r="L696" s="33"/>
      <c r="M696" s="33"/>
      <c r="N696" s="33"/>
      <c r="O696" s="33"/>
    </row>
    <row r="697" spans="4:15">
      <c r="D697" s="33"/>
      <c r="E697" s="33"/>
      <c r="F697" s="33"/>
      <c r="G697" s="33"/>
      <c r="H697" s="33"/>
      <c r="I697" s="33"/>
      <c r="J697" s="33"/>
      <c r="K697" s="33"/>
      <c r="L697" s="33"/>
      <c r="M697" s="33"/>
      <c r="N697" s="33"/>
      <c r="O697" s="33"/>
    </row>
    <row r="698" spans="4:15">
      <c r="D698" s="33"/>
      <c r="E698" s="33"/>
      <c r="F698" s="33"/>
      <c r="G698" s="33"/>
      <c r="H698" s="33"/>
      <c r="I698" s="33"/>
      <c r="J698" s="33"/>
      <c r="K698" s="33"/>
      <c r="L698" s="33"/>
      <c r="M698" s="33"/>
      <c r="N698" s="33"/>
      <c r="O698" s="33"/>
    </row>
    <row r="699" spans="4:15">
      <c r="D699" s="33"/>
      <c r="E699" s="33"/>
      <c r="F699" s="33"/>
      <c r="G699" s="33"/>
      <c r="H699" s="33"/>
      <c r="I699" s="33"/>
      <c r="J699" s="33"/>
      <c r="K699" s="33"/>
      <c r="L699" s="33"/>
      <c r="M699" s="33"/>
      <c r="N699" s="33"/>
      <c r="O699" s="33"/>
    </row>
    <row r="700" spans="4:15">
      <c r="D700" s="33"/>
      <c r="E700" s="33"/>
      <c r="F700" s="33"/>
      <c r="G700" s="33"/>
      <c r="H700" s="33"/>
      <c r="I700" s="33"/>
      <c r="J700" s="33"/>
      <c r="K700" s="33"/>
      <c r="L700" s="33"/>
      <c r="M700" s="33"/>
      <c r="N700" s="33"/>
      <c r="O700" s="33"/>
    </row>
    <row r="701" spans="4:15">
      <c r="D701" s="33"/>
      <c r="E701" s="33"/>
      <c r="F701" s="33"/>
      <c r="G701" s="33"/>
      <c r="H701" s="33"/>
      <c r="I701" s="33"/>
      <c r="J701" s="33"/>
      <c r="K701" s="33"/>
      <c r="L701" s="33"/>
      <c r="M701" s="33"/>
      <c r="N701" s="33"/>
      <c r="O701" s="33"/>
    </row>
    <row r="702" spans="4:15">
      <c r="D702" s="33"/>
      <c r="E702" s="33"/>
      <c r="F702" s="33"/>
      <c r="G702" s="33"/>
      <c r="H702" s="33"/>
      <c r="I702" s="33"/>
      <c r="J702" s="33"/>
      <c r="K702" s="33"/>
      <c r="L702" s="33"/>
      <c r="M702" s="33"/>
      <c r="N702" s="33"/>
      <c r="O702" s="33"/>
    </row>
    <row r="703" spans="4:15">
      <c r="D703" s="33"/>
      <c r="E703" s="33"/>
      <c r="F703" s="33"/>
      <c r="G703" s="33"/>
      <c r="H703" s="33"/>
      <c r="I703" s="33"/>
      <c r="J703" s="33"/>
      <c r="K703" s="33"/>
      <c r="L703" s="33"/>
      <c r="M703" s="33"/>
      <c r="N703" s="33"/>
      <c r="O703" s="33"/>
    </row>
    <row r="704" spans="4:15">
      <c r="D704" s="33"/>
      <c r="E704" s="33"/>
      <c r="F704" s="33"/>
      <c r="G704" s="33"/>
      <c r="H704" s="33"/>
      <c r="I704" s="33"/>
      <c r="J704" s="33"/>
      <c r="K704" s="33"/>
      <c r="L704" s="33"/>
      <c r="M704" s="33"/>
      <c r="N704" s="33"/>
      <c r="O704" s="33"/>
    </row>
    <row r="705" spans="4:15">
      <c r="D705" s="33"/>
      <c r="E705" s="33"/>
      <c r="F705" s="33"/>
      <c r="G705" s="33"/>
      <c r="H705" s="33"/>
      <c r="I705" s="33"/>
      <c r="J705" s="33"/>
      <c r="K705" s="33"/>
      <c r="L705" s="33"/>
      <c r="M705" s="33"/>
      <c r="N705" s="33"/>
      <c r="O705" s="33"/>
    </row>
    <row r="706" spans="4:15">
      <c r="D706" s="33"/>
      <c r="E706" s="33"/>
      <c r="F706" s="33"/>
      <c r="G706" s="33"/>
      <c r="H706" s="33"/>
      <c r="I706" s="33"/>
      <c r="J706" s="33"/>
      <c r="K706" s="33"/>
      <c r="L706" s="33"/>
      <c r="M706" s="33"/>
      <c r="N706" s="33"/>
      <c r="O706" s="33"/>
    </row>
    <row r="707" spans="4:15">
      <c r="D707" s="33"/>
      <c r="E707" s="33"/>
      <c r="F707" s="33"/>
      <c r="G707" s="33"/>
      <c r="H707" s="33"/>
      <c r="I707" s="33"/>
      <c r="J707" s="33"/>
      <c r="K707" s="33"/>
      <c r="L707" s="33"/>
      <c r="M707" s="33"/>
      <c r="N707" s="33"/>
      <c r="O707" s="33"/>
    </row>
    <row r="708" spans="4:15">
      <c r="D708" s="33"/>
      <c r="E708" s="33"/>
      <c r="F708" s="33"/>
      <c r="G708" s="33"/>
      <c r="H708" s="33"/>
      <c r="I708" s="33"/>
      <c r="J708" s="33"/>
      <c r="K708" s="33"/>
      <c r="L708" s="33"/>
      <c r="M708" s="33"/>
      <c r="N708" s="33"/>
      <c r="O708" s="33"/>
    </row>
    <row r="709" spans="4:15">
      <c r="D709" s="33"/>
      <c r="E709" s="33"/>
      <c r="F709" s="33"/>
      <c r="G709" s="33"/>
      <c r="H709" s="33"/>
      <c r="I709" s="33"/>
      <c r="J709" s="33"/>
      <c r="K709" s="33"/>
      <c r="L709" s="33"/>
      <c r="M709" s="33"/>
      <c r="N709" s="33"/>
      <c r="O709" s="33"/>
    </row>
    <row r="710" spans="4:15">
      <c r="D710" s="33"/>
      <c r="E710" s="33"/>
      <c r="F710" s="33"/>
      <c r="G710" s="33"/>
      <c r="H710" s="33"/>
      <c r="I710" s="33"/>
      <c r="J710" s="33"/>
      <c r="K710" s="33"/>
      <c r="L710" s="33"/>
      <c r="M710" s="33"/>
      <c r="N710" s="33"/>
      <c r="O710" s="33"/>
    </row>
    <row r="711" spans="4:15">
      <c r="D711" s="33"/>
      <c r="E711" s="33"/>
      <c r="F711" s="33"/>
      <c r="G711" s="33"/>
      <c r="H711" s="33"/>
      <c r="I711" s="33"/>
      <c r="J711" s="33"/>
      <c r="K711" s="33"/>
      <c r="L711" s="33"/>
      <c r="M711" s="33"/>
      <c r="N711" s="33"/>
      <c r="O711" s="33"/>
    </row>
    <row r="712" spans="4:15">
      <c r="D712" s="33"/>
      <c r="E712" s="33"/>
      <c r="F712" s="33"/>
      <c r="G712" s="33"/>
      <c r="H712" s="33"/>
      <c r="I712" s="33"/>
      <c r="J712" s="33"/>
      <c r="K712" s="33"/>
      <c r="L712" s="33"/>
      <c r="M712" s="33"/>
      <c r="N712" s="33"/>
      <c r="O712" s="33"/>
    </row>
    <row r="713" spans="4:15">
      <c r="D713" s="33"/>
      <c r="E713" s="33"/>
      <c r="F713" s="33"/>
      <c r="G713" s="33"/>
      <c r="H713" s="33"/>
      <c r="I713" s="33"/>
      <c r="J713" s="33"/>
      <c r="K713" s="33"/>
      <c r="L713" s="33"/>
      <c r="M713" s="33"/>
      <c r="N713" s="33"/>
      <c r="O713" s="33"/>
    </row>
    <row r="714" spans="4:15">
      <c r="D714" s="33"/>
      <c r="E714" s="33"/>
      <c r="F714" s="33"/>
      <c r="G714" s="33"/>
      <c r="H714" s="33"/>
      <c r="I714" s="33"/>
      <c r="J714" s="33"/>
      <c r="K714" s="33"/>
      <c r="L714" s="33"/>
      <c r="M714" s="33"/>
      <c r="N714" s="33"/>
      <c r="O714" s="33"/>
    </row>
    <row r="715" spans="4:15">
      <c r="D715" s="33"/>
      <c r="E715" s="33"/>
      <c r="F715" s="33"/>
      <c r="G715" s="33"/>
      <c r="H715" s="33"/>
      <c r="I715" s="33"/>
      <c r="J715" s="33"/>
      <c r="K715" s="33"/>
      <c r="L715" s="33"/>
      <c r="M715" s="33"/>
      <c r="N715" s="33"/>
      <c r="O715" s="33"/>
    </row>
    <row r="716" spans="4:15">
      <c r="D716" s="33"/>
      <c r="E716" s="33"/>
      <c r="F716" s="33"/>
      <c r="G716" s="33"/>
      <c r="H716" s="33"/>
      <c r="I716" s="33"/>
      <c r="J716" s="33"/>
      <c r="K716" s="33"/>
      <c r="L716" s="33"/>
      <c r="M716" s="33"/>
      <c r="N716" s="33"/>
      <c r="O716" s="33"/>
    </row>
    <row r="717" spans="4:15">
      <c r="D717" s="33"/>
      <c r="E717" s="33"/>
      <c r="F717" s="33"/>
      <c r="G717" s="33"/>
      <c r="H717" s="33"/>
      <c r="I717" s="33"/>
      <c r="J717" s="33"/>
      <c r="K717" s="33"/>
      <c r="L717" s="33"/>
      <c r="M717" s="33"/>
      <c r="N717" s="33"/>
      <c r="O717" s="33"/>
    </row>
    <row r="718" spans="4:15">
      <c r="D718" s="33"/>
      <c r="E718" s="33"/>
      <c r="F718" s="33"/>
      <c r="G718" s="33"/>
      <c r="H718" s="33"/>
      <c r="I718" s="33"/>
      <c r="J718" s="33"/>
      <c r="K718" s="33"/>
      <c r="L718" s="33"/>
      <c r="M718" s="33"/>
      <c r="N718" s="33"/>
      <c r="O718" s="33"/>
    </row>
    <row r="719" spans="4:15">
      <c r="D719" s="33"/>
      <c r="E719" s="33"/>
      <c r="F719" s="33"/>
      <c r="G719" s="33"/>
      <c r="H719" s="33"/>
      <c r="I719" s="33"/>
      <c r="J719" s="33"/>
      <c r="K719" s="33"/>
      <c r="L719" s="33"/>
      <c r="M719" s="33"/>
      <c r="N719" s="33"/>
      <c r="O719" s="33"/>
    </row>
    <row r="720" spans="4:15">
      <c r="D720" s="33"/>
      <c r="E720" s="33"/>
      <c r="F720" s="33"/>
      <c r="G720" s="33"/>
      <c r="H720" s="33"/>
      <c r="I720" s="33"/>
      <c r="J720" s="33"/>
      <c r="K720" s="33"/>
      <c r="L720" s="33"/>
      <c r="M720" s="33"/>
      <c r="N720" s="33"/>
      <c r="O720" s="33"/>
    </row>
    <row r="721" spans="4:15">
      <c r="D721" s="33"/>
      <c r="E721" s="33"/>
      <c r="F721" s="33"/>
      <c r="G721" s="33"/>
      <c r="H721" s="33"/>
      <c r="I721" s="33"/>
      <c r="J721" s="33"/>
      <c r="K721" s="33"/>
      <c r="L721" s="33"/>
      <c r="M721" s="33"/>
      <c r="N721" s="33"/>
      <c r="O721" s="33"/>
    </row>
    <row r="722" spans="4:15">
      <c r="D722" s="33"/>
      <c r="E722" s="33"/>
      <c r="F722" s="33"/>
      <c r="G722" s="33"/>
      <c r="H722" s="33"/>
      <c r="I722" s="33"/>
      <c r="J722" s="33"/>
      <c r="K722" s="33"/>
      <c r="L722" s="33"/>
      <c r="M722" s="33"/>
      <c r="N722" s="33"/>
      <c r="O722" s="33"/>
    </row>
    <row r="723" spans="4:15">
      <c r="D723" s="33"/>
      <c r="E723" s="33"/>
      <c r="F723" s="33"/>
      <c r="G723" s="33"/>
      <c r="H723" s="33"/>
      <c r="I723" s="33"/>
      <c r="J723" s="33"/>
      <c r="K723" s="33"/>
      <c r="L723" s="33"/>
      <c r="M723" s="33"/>
      <c r="N723" s="33"/>
      <c r="O723" s="33"/>
    </row>
    <row r="724" spans="4:15">
      <c r="D724" s="33"/>
      <c r="E724" s="33"/>
      <c r="F724" s="33"/>
      <c r="G724" s="33"/>
      <c r="H724" s="33"/>
      <c r="I724" s="33"/>
      <c r="J724" s="33"/>
      <c r="K724" s="33"/>
      <c r="L724" s="33"/>
      <c r="M724" s="33"/>
      <c r="N724" s="33"/>
      <c r="O724" s="33"/>
    </row>
    <row r="725" spans="4:15">
      <c r="D725" s="33"/>
      <c r="E725" s="33"/>
      <c r="F725" s="33"/>
      <c r="G725" s="33"/>
      <c r="H725" s="33"/>
      <c r="I725" s="33"/>
      <c r="J725" s="33"/>
      <c r="K725" s="33"/>
      <c r="L725" s="33"/>
      <c r="M725" s="33"/>
      <c r="N725" s="33"/>
      <c r="O725" s="33"/>
    </row>
    <row r="726" spans="4:15">
      <c r="D726" s="33"/>
      <c r="E726" s="33"/>
      <c r="F726" s="33"/>
      <c r="G726" s="33"/>
      <c r="H726" s="33"/>
      <c r="I726" s="33"/>
      <c r="J726" s="33"/>
      <c r="K726" s="33"/>
      <c r="L726" s="33"/>
      <c r="M726" s="33"/>
      <c r="N726" s="33"/>
      <c r="O726" s="33"/>
    </row>
    <row r="727" spans="4:15">
      <c r="D727" s="33"/>
      <c r="E727" s="33"/>
      <c r="F727" s="33"/>
      <c r="G727" s="33"/>
      <c r="H727" s="33"/>
      <c r="I727" s="33"/>
      <c r="J727" s="33"/>
      <c r="K727" s="33"/>
      <c r="L727" s="33"/>
      <c r="M727" s="33"/>
      <c r="N727" s="33"/>
      <c r="O727" s="33"/>
    </row>
    <row r="728" spans="4:15">
      <c r="D728" s="33"/>
      <c r="E728" s="33"/>
      <c r="F728" s="33"/>
      <c r="G728" s="33"/>
      <c r="H728" s="33"/>
      <c r="I728" s="33"/>
      <c r="J728" s="33"/>
      <c r="K728" s="33"/>
      <c r="L728" s="33"/>
      <c r="M728" s="33"/>
      <c r="N728" s="33"/>
      <c r="O728" s="33"/>
    </row>
    <row r="729" spans="4:15">
      <c r="D729" s="33"/>
      <c r="E729" s="33"/>
      <c r="F729" s="33"/>
      <c r="G729" s="33"/>
      <c r="H729" s="33"/>
      <c r="I729" s="33"/>
      <c r="J729" s="33"/>
      <c r="K729" s="33"/>
      <c r="L729" s="33"/>
      <c r="M729" s="33"/>
      <c r="N729" s="33"/>
      <c r="O729" s="33"/>
    </row>
    <row r="730" spans="4:15">
      <c r="D730" s="33"/>
      <c r="E730" s="33"/>
      <c r="F730" s="33"/>
      <c r="G730" s="33"/>
      <c r="H730" s="33"/>
      <c r="I730" s="33"/>
      <c r="J730" s="33"/>
      <c r="K730" s="33"/>
      <c r="L730" s="33"/>
      <c r="M730" s="33"/>
      <c r="N730" s="33"/>
      <c r="O730" s="33"/>
    </row>
    <row r="731" spans="4:15">
      <c r="D731" s="33"/>
      <c r="E731" s="33"/>
      <c r="F731" s="33"/>
      <c r="G731" s="33"/>
      <c r="H731" s="33"/>
      <c r="I731" s="33"/>
      <c r="J731" s="33"/>
      <c r="K731" s="33"/>
      <c r="L731" s="33"/>
      <c r="M731" s="33"/>
      <c r="N731" s="33"/>
      <c r="O731" s="33"/>
    </row>
    <row r="732" spans="4:15">
      <c r="D732" s="33"/>
      <c r="E732" s="33"/>
      <c r="F732" s="33"/>
      <c r="G732" s="33"/>
      <c r="H732" s="33"/>
      <c r="I732" s="33"/>
      <c r="J732" s="33"/>
      <c r="K732" s="33"/>
      <c r="L732" s="33"/>
      <c r="M732" s="33"/>
      <c r="N732" s="33"/>
      <c r="O732" s="33"/>
    </row>
    <row r="733" spans="4:15">
      <c r="D733" s="33"/>
      <c r="E733" s="33"/>
      <c r="F733" s="33"/>
      <c r="G733" s="33"/>
      <c r="H733" s="33"/>
      <c r="I733" s="33"/>
      <c r="J733" s="33"/>
      <c r="K733" s="33"/>
      <c r="L733" s="33"/>
      <c r="M733" s="33"/>
      <c r="N733" s="33"/>
      <c r="O733" s="33"/>
    </row>
    <row r="734" spans="4:15">
      <c r="D734" s="33"/>
      <c r="E734" s="33"/>
      <c r="F734" s="33"/>
      <c r="G734" s="33"/>
      <c r="H734" s="33"/>
      <c r="I734" s="33"/>
      <c r="J734" s="33"/>
      <c r="K734" s="33"/>
      <c r="L734" s="33"/>
      <c r="M734" s="33"/>
      <c r="N734" s="33"/>
      <c r="O734" s="33"/>
    </row>
    <row r="735" spans="4:15">
      <c r="D735" s="33"/>
      <c r="E735" s="33"/>
      <c r="F735" s="33"/>
      <c r="G735" s="33"/>
      <c r="H735" s="33"/>
      <c r="I735" s="33"/>
      <c r="J735" s="33"/>
      <c r="K735" s="33"/>
      <c r="L735" s="33"/>
      <c r="M735" s="33"/>
      <c r="N735" s="33"/>
      <c r="O735" s="33"/>
    </row>
    <row r="736" spans="4:15">
      <c r="D736" s="33"/>
      <c r="E736" s="33"/>
      <c r="F736" s="33"/>
      <c r="G736" s="33"/>
      <c r="H736" s="33"/>
      <c r="I736" s="33"/>
      <c r="J736" s="33"/>
      <c r="K736" s="33"/>
      <c r="L736" s="33"/>
      <c r="M736" s="33"/>
      <c r="N736" s="33"/>
      <c r="O736" s="33"/>
    </row>
    <row r="737" spans="4:15">
      <c r="D737" s="33"/>
      <c r="E737" s="33"/>
      <c r="F737" s="33"/>
      <c r="G737" s="33"/>
      <c r="H737" s="33"/>
      <c r="I737" s="33"/>
      <c r="J737" s="33"/>
      <c r="K737" s="33"/>
      <c r="L737" s="33"/>
      <c r="M737" s="33"/>
      <c r="N737" s="33"/>
      <c r="O737" s="33"/>
    </row>
    <row r="738" spans="4:15">
      <c r="D738" s="33"/>
      <c r="E738" s="33"/>
      <c r="F738" s="33"/>
      <c r="G738" s="33"/>
      <c r="H738" s="33"/>
      <c r="I738" s="33"/>
      <c r="J738" s="33"/>
      <c r="K738" s="33"/>
      <c r="L738" s="33"/>
      <c r="M738" s="33"/>
      <c r="N738" s="33"/>
      <c r="O738" s="33"/>
    </row>
    <row r="739" spans="4:15">
      <c r="D739" s="33"/>
      <c r="E739" s="33"/>
      <c r="F739" s="33"/>
      <c r="G739" s="33"/>
      <c r="H739" s="33"/>
      <c r="I739" s="33"/>
      <c r="J739" s="33"/>
      <c r="K739" s="33"/>
      <c r="L739" s="33"/>
      <c r="M739" s="33"/>
      <c r="N739" s="33"/>
      <c r="O739" s="33"/>
    </row>
    <row r="740" spans="4:15">
      <c r="D740" s="33"/>
      <c r="E740" s="33"/>
      <c r="F740" s="33"/>
      <c r="G740" s="33"/>
      <c r="H740" s="33"/>
      <c r="I740" s="33"/>
      <c r="J740" s="33"/>
      <c r="K740" s="33"/>
      <c r="L740" s="33"/>
      <c r="M740" s="33"/>
      <c r="N740" s="33"/>
      <c r="O740" s="33"/>
    </row>
    <row r="741" spans="4:15">
      <c r="D741" s="33"/>
      <c r="E741" s="33"/>
      <c r="F741" s="33"/>
      <c r="G741" s="33"/>
      <c r="H741" s="33"/>
      <c r="I741" s="33"/>
      <c r="J741" s="33"/>
      <c r="K741" s="33"/>
      <c r="L741" s="33"/>
      <c r="M741" s="33"/>
      <c r="N741" s="33"/>
      <c r="O741" s="33"/>
    </row>
    <row r="742" spans="4:15">
      <c r="D742" s="33"/>
      <c r="E742" s="33"/>
      <c r="F742" s="33"/>
      <c r="G742" s="33"/>
      <c r="H742" s="33"/>
      <c r="I742" s="33"/>
      <c r="J742" s="33"/>
      <c r="K742" s="33"/>
      <c r="L742" s="33"/>
      <c r="M742" s="33"/>
      <c r="N742" s="33"/>
      <c r="O742" s="33"/>
    </row>
    <row r="743" spans="4:15">
      <c r="D743" s="33"/>
      <c r="E743" s="33"/>
      <c r="F743" s="33"/>
      <c r="G743" s="33"/>
      <c r="H743" s="33"/>
      <c r="I743" s="33"/>
      <c r="J743" s="33"/>
      <c r="K743" s="33"/>
      <c r="L743" s="33"/>
      <c r="M743" s="33"/>
      <c r="N743" s="33"/>
      <c r="O743" s="33"/>
    </row>
    <row r="744" spans="4:15">
      <c r="D744" s="33"/>
      <c r="E744" s="33"/>
      <c r="F744" s="33"/>
      <c r="G744" s="33"/>
      <c r="H744" s="33"/>
      <c r="I744" s="33"/>
      <c r="J744" s="33"/>
      <c r="K744" s="33"/>
      <c r="L744" s="33"/>
      <c r="M744" s="33"/>
      <c r="N744" s="33"/>
      <c r="O744" s="33"/>
    </row>
    <row r="745" spans="4:15">
      <c r="D745" s="33"/>
      <c r="E745" s="33"/>
      <c r="F745" s="33"/>
      <c r="G745" s="33"/>
      <c r="H745" s="33"/>
      <c r="I745" s="33"/>
      <c r="J745" s="33"/>
      <c r="K745" s="33"/>
      <c r="L745" s="33"/>
      <c r="M745" s="33"/>
      <c r="N745" s="33"/>
      <c r="O745" s="33"/>
    </row>
    <row r="746" spans="4:15">
      <c r="D746" s="33"/>
      <c r="E746" s="33"/>
      <c r="F746" s="33"/>
      <c r="G746" s="33"/>
      <c r="H746" s="33"/>
      <c r="I746" s="33"/>
      <c r="J746" s="33"/>
      <c r="K746" s="33"/>
      <c r="L746" s="33"/>
      <c r="M746" s="33"/>
      <c r="N746" s="33"/>
      <c r="O746" s="33"/>
    </row>
    <row r="747" spans="4:15">
      <c r="D747" s="33"/>
      <c r="E747" s="33"/>
      <c r="F747" s="33"/>
      <c r="G747" s="33"/>
      <c r="H747" s="33"/>
      <c r="I747" s="33"/>
      <c r="J747" s="33"/>
      <c r="K747" s="33"/>
      <c r="L747" s="33"/>
      <c r="M747" s="33"/>
      <c r="N747" s="33"/>
      <c r="O747" s="33"/>
    </row>
    <row r="748" spans="4:15">
      <c r="D748" s="33"/>
      <c r="E748" s="33"/>
      <c r="F748" s="33"/>
      <c r="G748" s="33"/>
      <c r="H748" s="33"/>
      <c r="I748" s="33"/>
      <c r="J748" s="33"/>
      <c r="K748" s="33"/>
      <c r="L748" s="33"/>
      <c r="M748" s="33"/>
      <c r="N748" s="33"/>
      <c r="O748" s="33"/>
    </row>
    <row r="749" spans="4:15">
      <c r="D749" s="33"/>
      <c r="E749" s="33"/>
      <c r="F749" s="33"/>
      <c r="G749" s="33"/>
      <c r="H749" s="33"/>
      <c r="I749" s="33"/>
      <c r="J749" s="33"/>
      <c r="K749" s="33"/>
      <c r="L749" s="33"/>
      <c r="M749" s="33"/>
      <c r="N749" s="33"/>
      <c r="O749" s="33"/>
    </row>
    <row r="750" spans="4:15">
      <c r="D750" s="33"/>
      <c r="E750" s="33"/>
      <c r="F750" s="33"/>
      <c r="G750" s="33"/>
      <c r="H750" s="33"/>
      <c r="I750" s="33"/>
      <c r="J750" s="33"/>
      <c r="K750" s="33"/>
      <c r="L750" s="33"/>
      <c r="M750" s="33"/>
      <c r="N750" s="33"/>
      <c r="O750" s="33"/>
    </row>
    <row r="751" spans="4:15">
      <c r="D751" s="33"/>
      <c r="E751" s="33"/>
      <c r="F751" s="33"/>
      <c r="G751" s="33"/>
      <c r="H751" s="33"/>
      <c r="I751" s="33"/>
      <c r="J751" s="33"/>
      <c r="K751" s="33"/>
      <c r="L751" s="33"/>
      <c r="M751" s="33"/>
      <c r="N751" s="33"/>
      <c r="O751" s="33"/>
    </row>
    <row r="752" spans="4:15">
      <c r="D752" s="33"/>
      <c r="E752" s="33"/>
      <c r="F752" s="33"/>
      <c r="G752" s="33"/>
      <c r="H752" s="33"/>
      <c r="I752" s="33"/>
      <c r="J752" s="33"/>
      <c r="K752" s="33"/>
      <c r="L752" s="33"/>
      <c r="M752" s="33"/>
      <c r="N752" s="33"/>
      <c r="O752" s="33"/>
    </row>
    <row r="753" spans="4:15">
      <c r="D753" s="33"/>
      <c r="E753" s="33"/>
      <c r="F753" s="33"/>
      <c r="G753" s="33"/>
      <c r="H753" s="33"/>
      <c r="I753" s="33"/>
      <c r="J753" s="33"/>
      <c r="K753" s="33"/>
      <c r="L753" s="33"/>
      <c r="M753" s="33"/>
      <c r="N753" s="33"/>
      <c r="O753" s="33"/>
    </row>
    <row r="754" spans="4:15">
      <c r="D754" s="33"/>
      <c r="E754" s="33"/>
      <c r="F754" s="33"/>
      <c r="G754" s="33"/>
      <c r="H754" s="33"/>
      <c r="I754" s="33"/>
      <c r="J754" s="33"/>
      <c r="K754" s="33"/>
      <c r="L754" s="33"/>
      <c r="M754" s="33"/>
      <c r="N754" s="33"/>
      <c r="O754" s="33"/>
    </row>
    <row r="755" spans="4:15">
      <c r="D755" s="33"/>
      <c r="E755" s="33"/>
      <c r="F755" s="33"/>
      <c r="G755" s="33"/>
      <c r="H755" s="33"/>
      <c r="I755" s="33"/>
      <c r="J755" s="33"/>
      <c r="K755" s="33"/>
      <c r="L755" s="33"/>
      <c r="M755" s="33"/>
      <c r="N755" s="33"/>
      <c r="O755" s="33"/>
    </row>
    <row r="756" spans="4:15">
      <c r="D756" s="33"/>
      <c r="E756" s="33"/>
      <c r="F756" s="33"/>
      <c r="G756" s="33"/>
      <c r="H756" s="33"/>
      <c r="I756" s="33"/>
      <c r="J756" s="33"/>
      <c r="K756" s="33"/>
      <c r="L756" s="33"/>
      <c r="M756" s="33"/>
      <c r="N756" s="33"/>
      <c r="O756" s="33"/>
    </row>
    <row r="757" spans="4:15">
      <c r="D757" s="33"/>
      <c r="E757" s="33"/>
      <c r="F757" s="33"/>
      <c r="G757" s="33"/>
      <c r="H757" s="33"/>
      <c r="I757" s="33"/>
      <c r="J757" s="33"/>
      <c r="K757" s="33"/>
      <c r="L757" s="33"/>
      <c r="M757" s="33"/>
      <c r="N757" s="33"/>
      <c r="O757" s="33"/>
    </row>
    <row r="758" spans="4:15">
      <c r="D758" s="33"/>
      <c r="E758" s="33"/>
      <c r="F758" s="33"/>
      <c r="G758" s="33"/>
      <c r="H758" s="33"/>
      <c r="I758" s="33"/>
      <c r="J758" s="33"/>
      <c r="K758" s="33"/>
      <c r="L758" s="33"/>
      <c r="M758" s="33"/>
      <c r="N758" s="33"/>
      <c r="O758" s="33"/>
    </row>
    <row r="759" spans="4:15">
      <c r="D759" s="33"/>
      <c r="E759" s="33"/>
      <c r="F759" s="33"/>
      <c r="G759" s="33"/>
      <c r="H759" s="33"/>
      <c r="I759" s="33"/>
      <c r="J759" s="33"/>
      <c r="K759" s="33"/>
      <c r="L759" s="33"/>
      <c r="M759" s="33"/>
      <c r="N759" s="33"/>
      <c r="O759" s="33"/>
    </row>
    <row r="760" spans="4:15">
      <c r="D760" s="33"/>
      <c r="E760" s="33"/>
      <c r="F760" s="33"/>
      <c r="G760" s="33"/>
      <c r="H760" s="33"/>
      <c r="I760" s="33"/>
      <c r="J760" s="33"/>
      <c r="K760" s="33"/>
      <c r="L760" s="33"/>
      <c r="M760" s="33"/>
      <c r="N760" s="33"/>
      <c r="O760" s="33"/>
    </row>
    <row r="761" spans="4:15">
      <c r="D761" s="33"/>
      <c r="E761" s="33"/>
      <c r="F761" s="33"/>
      <c r="G761" s="33"/>
      <c r="H761" s="33"/>
      <c r="I761" s="33"/>
      <c r="J761" s="33"/>
      <c r="K761" s="33"/>
      <c r="L761" s="33"/>
      <c r="M761" s="33"/>
      <c r="N761" s="33"/>
      <c r="O761" s="33"/>
    </row>
    <row r="762" spans="4:15">
      <c r="D762" s="33"/>
      <c r="E762" s="33"/>
      <c r="F762" s="33"/>
      <c r="G762" s="33"/>
      <c r="H762" s="33"/>
      <c r="I762" s="33"/>
      <c r="J762" s="33"/>
      <c r="K762" s="33"/>
      <c r="L762" s="33"/>
      <c r="M762" s="33"/>
      <c r="N762" s="33"/>
      <c r="O762" s="33"/>
    </row>
    <row r="763" spans="4:15">
      <c r="D763" s="33"/>
      <c r="E763" s="33"/>
      <c r="F763" s="33"/>
      <c r="G763" s="33"/>
      <c r="H763" s="33"/>
      <c r="I763" s="33"/>
      <c r="J763" s="33"/>
      <c r="K763" s="33"/>
      <c r="L763" s="33"/>
      <c r="M763" s="33"/>
      <c r="N763" s="33"/>
      <c r="O763" s="33"/>
    </row>
    <row r="764" spans="4:15">
      <c r="D764" s="33"/>
      <c r="E764" s="33"/>
      <c r="F764" s="33"/>
      <c r="G764" s="33"/>
      <c r="H764" s="33"/>
      <c r="I764" s="33"/>
      <c r="J764" s="33"/>
      <c r="K764" s="33"/>
      <c r="L764" s="33"/>
      <c r="M764" s="33"/>
      <c r="N764" s="33"/>
      <c r="O764" s="33"/>
    </row>
    <row r="765" spans="4:15">
      <c r="D765" s="33"/>
      <c r="E765" s="33"/>
      <c r="F765" s="33"/>
      <c r="G765" s="33"/>
      <c r="H765" s="33"/>
      <c r="I765" s="33"/>
      <c r="J765" s="33"/>
      <c r="K765" s="33"/>
      <c r="L765" s="33"/>
      <c r="M765" s="33"/>
      <c r="N765" s="33"/>
      <c r="O765" s="33"/>
    </row>
    <row r="766" spans="4:15">
      <c r="D766" s="33"/>
      <c r="E766" s="33"/>
      <c r="F766" s="33"/>
      <c r="G766" s="33"/>
      <c r="H766" s="33"/>
      <c r="I766" s="33"/>
      <c r="J766" s="33"/>
      <c r="K766" s="33"/>
      <c r="L766" s="33"/>
      <c r="M766" s="33"/>
      <c r="N766" s="33"/>
      <c r="O766" s="33"/>
    </row>
    <row r="767" spans="4:15">
      <c r="D767" s="33"/>
      <c r="E767" s="33"/>
      <c r="F767" s="33"/>
      <c r="G767" s="33"/>
      <c r="H767" s="33"/>
      <c r="I767" s="33"/>
      <c r="J767" s="33"/>
      <c r="K767" s="33"/>
      <c r="L767" s="33"/>
      <c r="M767" s="33"/>
      <c r="N767" s="33"/>
      <c r="O767" s="33"/>
    </row>
    <row r="768" spans="4:15">
      <c r="D768" s="33"/>
      <c r="E768" s="33"/>
      <c r="F768" s="33"/>
      <c r="G768" s="33"/>
      <c r="H768" s="33"/>
      <c r="I768" s="33"/>
      <c r="J768" s="33"/>
      <c r="K768" s="33"/>
      <c r="L768" s="33"/>
      <c r="M768" s="33"/>
      <c r="N768" s="33"/>
      <c r="O768" s="33"/>
    </row>
    <row r="769" spans="4:15">
      <c r="D769" s="33"/>
      <c r="E769" s="33"/>
      <c r="F769" s="33"/>
      <c r="G769" s="33"/>
      <c r="H769" s="33"/>
      <c r="I769" s="33"/>
      <c r="J769" s="33"/>
      <c r="K769" s="33"/>
      <c r="L769" s="33"/>
      <c r="M769" s="33"/>
      <c r="N769" s="33"/>
      <c r="O769" s="33"/>
    </row>
    <row r="770" spans="4:15">
      <c r="D770" s="33"/>
      <c r="E770" s="33"/>
      <c r="F770" s="33"/>
      <c r="G770" s="33"/>
      <c r="H770" s="33"/>
      <c r="I770" s="33"/>
      <c r="J770" s="33"/>
      <c r="K770" s="33"/>
      <c r="L770" s="33"/>
      <c r="M770" s="33"/>
      <c r="N770" s="33"/>
      <c r="O770" s="33"/>
    </row>
    <row r="771" spans="4:15">
      <c r="D771" s="33"/>
      <c r="E771" s="33"/>
      <c r="F771" s="33"/>
      <c r="G771" s="33"/>
      <c r="H771" s="33"/>
      <c r="I771" s="33"/>
      <c r="J771" s="33"/>
      <c r="K771" s="33"/>
      <c r="L771" s="33"/>
      <c r="M771" s="33"/>
      <c r="N771" s="33"/>
      <c r="O771" s="33"/>
    </row>
    <row r="772" spans="4:15">
      <c r="D772" s="33"/>
      <c r="E772" s="33"/>
      <c r="F772" s="33"/>
      <c r="G772" s="33"/>
      <c r="H772" s="33"/>
      <c r="I772" s="33"/>
      <c r="J772" s="33"/>
      <c r="K772" s="33"/>
      <c r="L772" s="33"/>
      <c r="M772" s="33"/>
      <c r="N772" s="33"/>
      <c r="O772" s="33"/>
    </row>
    <row r="773" spans="4:15">
      <c r="D773" s="33"/>
      <c r="E773" s="33"/>
      <c r="F773" s="33"/>
      <c r="G773" s="33"/>
      <c r="H773" s="33"/>
      <c r="I773" s="33"/>
      <c r="J773" s="33"/>
      <c r="K773" s="33"/>
      <c r="L773" s="33"/>
      <c r="M773" s="33"/>
      <c r="N773" s="33"/>
      <c r="O773" s="33"/>
    </row>
    <row r="774" spans="4:15">
      <c r="D774" s="33"/>
      <c r="E774" s="33"/>
      <c r="F774" s="33"/>
      <c r="G774" s="33"/>
      <c r="H774" s="33"/>
      <c r="I774" s="33"/>
      <c r="J774" s="33"/>
      <c r="K774" s="33"/>
      <c r="L774" s="33"/>
      <c r="M774" s="33"/>
      <c r="N774" s="33"/>
      <c r="O774" s="33"/>
    </row>
    <row r="775" spans="4:15">
      <c r="D775" s="33"/>
      <c r="E775" s="33"/>
      <c r="F775" s="33"/>
      <c r="G775" s="33"/>
      <c r="H775" s="33"/>
      <c r="I775" s="33"/>
      <c r="J775" s="33"/>
      <c r="K775" s="33"/>
      <c r="L775" s="33"/>
      <c r="M775" s="33"/>
      <c r="N775" s="33"/>
      <c r="O775" s="33"/>
    </row>
    <row r="776" spans="4:15">
      <c r="D776" s="33"/>
      <c r="E776" s="33"/>
      <c r="F776" s="33"/>
      <c r="G776" s="33"/>
      <c r="H776" s="33"/>
      <c r="I776" s="33"/>
      <c r="J776" s="33"/>
      <c r="K776" s="33"/>
      <c r="L776" s="33"/>
      <c r="M776" s="33"/>
      <c r="N776" s="33"/>
      <c r="O776" s="33"/>
    </row>
    <row r="777" spans="4:15">
      <c r="D777" s="33"/>
      <c r="E777" s="33"/>
      <c r="F777" s="33"/>
      <c r="G777" s="33"/>
      <c r="H777" s="33"/>
      <c r="I777" s="33"/>
      <c r="J777" s="33"/>
      <c r="K777" s="33"/>
      <c r="L777" s="33"/>
      <c r="M777" s="33"/>
      <c r="N777" s="33"/>
      <c r="O777" s="33"/>
    </row>
    <row r="778" spans="4:15">
      <c r="D778" s="33"/>
      <c r="E778" s="33"/>
      <c r="F778" s="33"/>
      <c r="G778" s="33"/>
      <c r="H778" s="33"/>
      <c r="I778" s="33"/>
      <c r="J778" s="33"/>
      <c r="K778" s="33"/>
      <c r="L778" s="33"/>
      <c r="M778" s="33"/>
      <c r="N778" s="33"/>
      <c r="O778" s="33"/>
    </row>
    <row r="779" spans="4:15">
      <c r="D779" s="33"/>
      <c r="E779" s="33"/>
      <c r="F779" s="33"/>
      <c r="G779" s="33"/>
      <c r="H779" s="33"/>
      <c r="I779" s="33"/>
      <c r="J779" s="33"/>
      <c r="K779" s="33"/>
      <c r="L779" s="33"/>
      <c r="M779" s="33"/>
      <c r="N779" s="33"/>
      <c r="O779" s="33"/>
    </row>
    <row r="780" spans="4:15">
      <c r="D780" s="33"/>
      <c r="E780" s="33"/>
      <c r="F780" s="33"/>
      <c r="G780" s="33"/>
      <c r="H780" s="33"/>
      <c r="I780" s="33"/>
      <c r="J780" s="33"/>
      <c r="K780" s="33"/>
      <c r="L780" s="33"/>
      <c r="M780" s="33"/>
      <c r="N780" s="33"/>
      <c r="O780" s="33"/>
    </row>
    <row r="781" spans="4:15">
      <c r="D781" s="33"/>
      <c r="E781" s="33"/>
      <c r="F781" s="33"/>
      <c r="G781" s="33"/>
      <c r="H781" s="33"/>
      <c r="I781" s="33"/>
      <c r="J781" s="33"/>
      <c r="K781" s="33"/>
      <c r="L781" s="33"/>
      <c r="M781" s="33"/>
      <c r="N781" s="33"/>
      <c r="O781" s="33"/>
    </row>
    <row r="782" spans="4:15">
      <c r="D782" s="33"/>
      <c r="E782" s="33"/>
      <c r="F782" s="33"/>
      <c r="G782" s="33"/>
      <c r="H782" s="33"/>
      <c r="I782" s="33"/>
      <c r="J782" s="33"/>
      <c r="K782" s="33"/>
      <c r="L782" s="33"/>
      <c r="M782" s="33"/>
      <c r="N782" s="33"/>
      <c r="O782" s="33"/>
    </row>
    <row r="783" spans="4:15">
      <c r="D783" s="33"/>
      <c r="E783" s="33"/>
      <c r="F783" s="33"/>
      <c r="G783" s="33"/>
      <c r="H783" s="33"/>
      <c r="I783" s="33"/>
      <c r="J783" s="33"/>
      <c r="K783" s="33"/>
      <c r="L783" s="33"/>
      <c r="M783" s="33"/>
      <c r="N783" s="33"/>
      <c r="O783" s="33"/>
    </row>
    <row r="784" spans="4:15">
      <c r="D784" s="33"/>
      <c r="E784" s="33"/>
      <c r="F784" s="33"/>
      <c r="G784" s="33"/>
      <c r="H784" s="33"/>
      <c r="I784" s="33"/>
      <c r="J784" s="33"/>
      <c r="K784" s="33"/>
      <c r="L784" s="33"/>
      <c r="M784" s="33"/>
      <c r="N784" s="33"/>
      <c r="O784" s="33"/>
    </row>
    <row r="785" spans="4:15">
      <c r="D785" s="33"/>
      <c r="E785" s="33"/>
      <c r="F785" s="33"/>
      <c r="G785" s="33"/>
      <c r="H785" s="33"/>
      <c r="I785" s="33"/>
      <c r="J785" s="33"/>
      <c r="K785" s="33"/>
      <c r="L785" s="33"/>
      <c r="M785" s="33"/>
      <c r="N785" s="33"/>
      <c r="O785" s="33"/>
    </row>
    <row r="786" spans="4:15">
      <c r="D786" s="33"/>
      <c r="E786" s="33"/>
      <c r="F786" s="33"/>
      <c r="G786" s="33"/>
      <c r="H786" s="33"/>
      <c r="I786" s="33"/>
      <c r="J786" s="33"/>
      <c r="K786" s="33"/>
      <c r="L786" s="33"/>
      <c r="M786" s="33"/>
      <c r="N786" s="33"/>
      <c r="O786" s="33"/>
    </row>
    <row r="787" spans="4:15">
      <c r="D787" s="33"/>
      <c r="E787" s="33"/>
      <c r="F787" s="33"/>
      <c r="G787" s="33"/>
      <c r="H787" s="33"/>
      <c r="I787" s="33"/>
      <c r="J787" s="33"/>
      <c r="K787" s="33"/>
      <c r="L787" s="33"/>
      <c r="M787" s="33"/>
      <c r="N787" s="33"/>
      <c r="O787" s="33"/>
    </row>
    <row r="788" spans="4:15">
      <c r="D788" s="33"/>
      <c r="E788" s="33"/>
      <c r="F788" s="33"/>
      <c r="G788" s="33"/>
      <c r="H788" s="33"/>
      <c r="I788" s="33"/>
      <c r="J788" s="33"/>
      <c r="K788" s="33"/>
      <c r="L788" s="33"/>
      <c r="M788" s="33"/>
      <c r="N788" s="33"/>
      <c r="O788" s="33"/>
    </row>
    <row r="789" spans="4:15">
      <c r="D789" s="33"/>
      <c r="E789" s="33"/>
      <c r="F789" s="33"/>
      <c r="G789" s="33"/>
      <c r="H789" s="33"/>
      <c r="I789" s="33"/>
      <c r="J789" s="33"/>
      <c r="K789" s="33"/>
      <c r="L789" s="33"/>
      <c r="M789" s="33"/>
      <c r="N789" s="33"/>
      <c r="O789" s="33"/>
    </row>
    <row r="790" spans="4:15">
      <c r="D790" s="33"/>
      <c r="E790" s="33"/>
      <c r="F790" s="33"/>
      <c r="G790" s="33"/>
      <c r="H790" s="33"/>
      <c r="I790" s="33"/>
      <c r="J790" s="33"/>
      <c r="K790" s="33"/>
      <c r="L790" s="33"/>
      <c r="M790" s="33"/>
      <c r="N790" s="33"/>
      <c r="O790" s="33"/>
    </row>
    <row r="791" spans="4:15">
      <c r="D791" s="33"/>
      <c r="E791" s="33"/>
      <c r="F791" s="33"/>
      <c r="G791" s="33"/>
      <c r="H791" s="33"/>
      <c r="I791" s="33"/>
      <c r="J791" s="33"/>
      <c r="K791" s="33"/>
      <c r="L791" s="33"/>
      <c r="M791" s="33"/>
      <c r="N791" s="33"/>
      <c r="O791" s="33"/>
    </row>
    <row r="792" spans="4:15">
      <c r="D792" s="33"/>
      <c r="E792" s="33"/>
      <c r="F792" s="33"/>
      <c r="G792" s="33"/>
      <c r="H792" s="33"/>
      <c r="I792" s="33"/>
      <c r="J792" s="33"/>
      <c r="K792" s="33"/>
      <c r="L792" s="33"/>
      <c r="M792" s="33"/>
      <c r="N792" s="33"/>
      <c r="O792" s="33"/>
    </row>
    <row r="793" spans="4:15">
      <c r="D793" s="33"/>
      <c r="E793" s="33"/>
      <c r="F793" s="33"/>
      <c r="G793" s="33"/>
      <c r="H793" s="33"/>
      <c r="I793" s="33"/>
      <c r="J793" s="33"/>
      <c r="K793" s="33"/>
      <c r="L793" s="33"/>
      <c r="M793" s="33"/>
      <c r="N793" s="33"/>
      <c r="O793" s="33"/>
    </row>
    <row r="794" spans="4:15">
      <c r="D794" s="33"/>
      <c r="E794" s="33"/>
      <c r="F794" s="33"/>
      <c r="G794" s="33"/>
      <c r="H794" s="33"/>
      <c r="I794" s="33"/>
      <c r="J794" s="33"/>
      <c r="K794" s="33"/>
      <c r="L794" s="33"/>
      <c r="M794" s="33"/>
      <c r="N794" s="33"/>
      <c r="O794" s="33"/>
    </row>
    <row r="795" spans="4:15">
      <c r="D795" s="33"/>
      <c r="E795" s="33"/>
      <c r="F795" s="33"/>
      <c r="G795" s="33"/>
      <c r="H795" s="33"/>
      <c r="I795" s="33"/>
      <c r="J795" s="33"/>
      <c r="K795" s="33"/>
      <c r="L795" s="33"/>
      <c r="M795" s="33"/>
      <c r="N795" s="33"/>
      <c r="O795" s="33"/>
    </row>
    <row r="796" spans="4:15">
      <c r="D796" s="33"/>
      <c r="E796" s="33"/>
      <c r="F796" s="33"/>
      <c r="G796" s="33"/>
      <c r="H796" s="33"/>
      <c r="I796" s="33"/>
      <c r="J796" s="33"/>
      <c r="K796" s="33"/>
      <c r="L796" s="33"/>
      <c r="M796" s="33"/>
      <c r="N796" s="33"/>
      <c r="O796" s="33"/>
    </row>
    <row r="797" spans="4:15">
      <c r="D797" s="33"/>
      <c r="E797" s="33"/>
      <c r="F797" s="33"/>
      <c r="G797" s="33"/>
      <c r="H797" s="33"/>
      <c r="I797" s="33"/>
      <c r="J797" s="33"/>
      <c r="K797" s="33"/>
      <c r="L797" s="33"/>
      <c r="M797" s="33"/>
      <c r="N797" s="33"/>
      <c r="O797" s="33"/>
    </row>
    <row r="798" spans="4:15">
      <c r="D798" s="33"/>
      <c r="E798" s="33"/>
      <c r="F798" s="33"/>
      <c r="G798" s="33"/>
      <c r="H798" s="33"/>
      <c r="I798" s="33"/>
      <c r="J798" s="33"/>
      <c r="K798" s="33"/>
      <c r="L798" s="33"/>
      <c r="M798" s="33"/>
      <c r="N798" s="33"/>
      <c r="O798" s="33"/>
    </row>
    <row r="799" spans="4:15">
      <c r="D799" s="33"/>
      <c r="E799" s="33"/>
      <c r="F799" s="33"/>
      <c r="G799" s="33"/>
      <c r="H799" s="33"/>
      <c r="I799" s="33"/>
      <c r="J799" s="33"/>
      <c r="K799" s="33"/>
      <c r="L799" s="33"/>
      <c r="M799" s="33"/>
      <c r="N799" s="33"/>
      <c r="O799" s="33"/>
    </row>
    <row r="800" spans="4:15">
      <c r="D800" s="33"/>
      <c r="E800" s="33"/>
      <c r="F800" s="33"/>
      <c r="G800" s="33"/>
      <c r="H800" s="33"/>
      <c r="I800" s="33"/>
      <c r="J800" s="33"/>
      <c r="K800" s="33"/>
      <c r="L800" s="33"/>
      <c r="M800" s="33"/>
      <c r="N800" s="33"/>
      <c r="O800" s="33"/>
    </row>
    <row r="801" spans="4:15">
      <c r="D801" s="33"/>
      <c r="E801" s="33"/>
      <c r="F801" s="33"/>
      <c r="G801" s="33"/>
      <c r="H801" s="33"/>
      <c r="I801" s="33"/>
      <c r="J801" s="33"/>
      <c r="K801" s="33"/>
      <c r="L801" s="33"/>
      <c r="M801" s="33"/>
      <c r="N801" s="33"/>
      <c r="O801" s="33"/>
    </row>
    <row r="802" spans="4:15">
      <c r="D802" s="33"/>
      <c r="E802" s="33"/>
      <c r="F802" s="33"/>
      <c r="G802" s="33"/>
      <c r="H802" s="33"/>
      <c r="I802" s="33"/>
      <c r="J802" s="33"/>
      <c r="K802" s="33"/>
      <c r="L802" s="33"/>
      <c r="M802" s="33"/>
      <c r="N802" s="33"/>
      <c r="O802" s="33"/>
    </row>
    <row r="803" spans="4:15">
      <c r="D803" s="33"/>
      <c r="E803" s="33"/>
      <c r="F803" s="33"/>
      <c r="G803" s="33"/>
      <c r="H803" s="33"/>
      <c r="I803" s="33"/>
      <c r="J803" s="33"/>
      <c r="K803" s="33"/>
      <c r="L803" s="33"/>
      <c r="M803" s="33"/>
      <c r="N803" s="33"/>
      <c r="O803" s="33"/>
    </row>
    <row r="804" spans="4:15">
      <c r="D804" s="33"/>
      <c r="E804" s="33"/>
      <c r="F804" s="33"/>
      <c r="G804" s="33"/>
      <c r="H804" s="33"/>
      <c r="I804" s="33"/>
      <c r="J804" s="33"/>
      <c r="K804" s="33"/>
      <c r="L804" s="33"/>
      <c r="M804" s="33"/>
      <c r="N804" s="33"/>
      <c r="O804" s="33"/>
    </row>
    <row r="805" spans="4:15">
      <c r="D805" s="33"/>
      <c r="E805" s="33"/>
      <c r="F805" s="33"/>
      <c r="G805" s="33"/>
      <c r="H805" s="33"/>
      <c r="I805" s="33"/>
      <c r="J805" s="33"/>
      <c r="K805" s="33"/>
      <c r="L805" s="33"/>
      <c r="M805" s="33"/>
      <c r="N805" s="33"/>
      <c r="O805" s="33"/>
    </row>
    <row r="806" spans="4:15">
      <c r="D806" s="33"/>
      <c r="E806" s="33"/>
      <c r="F806" s="33"/>
      <c r="G806" s="33"/>
      <c r="H806" s="33"/>
      <c r="I806" s="33"/>
      <c r="J806" s="33"/>
      <c r="K806" s="33"/>
      <c r="L806" s="33"/>
      <c r="M806" s="33"/>
      <c r="N806" s="33"/>
      <c r="O806" s="33"/>
    </row>
    <row r="807" spans="4:15">
      <c r="D807" s="33"/>
      <c r="E807" s="33"/>
      <c r="F807" s="33"/>
      <c r="G807" s="33"/>
      <c r="H807" s="33"/>
      <c r="I807" s="33"/>
      <c r="J807" s="33"/>
      <c r="K807" s="33"/>
      <c r="L807" s="33"/>
      <c r="M807" s="33"/>
      <c r="N807" s="33"/>
      <c r="O807" s="33"/>
    </row>
    <row r="808" spans="4:15">
      <c r="D808" s="33"/>
      <c r="E808" s="33"/>
      <c r="F808" s="33"/>
      <c r="G808" s="33"/>
      <c r="H808" s="33"/>
      <c r="I808" s="33"/>
      <c r="J808" s="33"/>
      <c r="K808" s="33"/>
      <c r="L808" s="33"/>
      <c r="M808" s="33"/>
      <c r="N808" s="33"/>
      <c r="O808" s="33"/>
    </row>
    <row r="809" spans="4:15">
      <c r="D809" s="33"/>
      <c r="E809" s="33"/>
      <c r="F809" s="33"/>
      <c r="G809" s="33"/>
      <c r="H809" s="33"/>
      <c r="I809" s="33"/>
      <c r="J809" s="33"/>
      <c r="K809" s="33"/>
      <c r="L809" s="33"/>
      <c r="M809" s="33"/>
      <c r="N809" s="33"/>
      <c r="O809" s="33"/>
    </row>
    <row r="810" spans="4:15">
      <c r="D810" s="33"/>
      <c r="E810" s="33"/>
      <c r="F810" s="33"/>
      <c r="G810" s="33"/>
      <c r="H810" s="33"/>
      <c r="I810" s="33"/>
      <c r="J810" s="33"/>
      <c r="K810" s="33"/>
      <c r="L810" s="33"/>
      <c r="M810" s="33"/>
      <c r="N810" s="33"/>
      <c r="O810" s="33"/>
    </row>
    <row r="811" spans="4:15">
      <c r="D811" s="33"/>
      <c r="E811" s="33"/>
      <c r="F811" s="33"/>
      <c r="G811" s="33"/>
      <c r="H811" s="33"/>
      <c r="I811" s="33"/>
      <c r="J811" s="33"/>
      <c r="K811" s="33"/>
      <c r="L811" s="33"/>
      <c r="M811" s="33"/>
      <c r="N811" s="33"/>
      <c r="O811" s="33"/>
    </row>
    <row r="812" spans="4:15">
      <c r="D812" s="33"/>
      <c r="E812" s="33"/>
      <c r="F812" s="33"/>
      <c r="G812" s="33"/>
      <c r="H812" s="33"/>
      <c r="I812" s="33"/>
      <c r="J812" s="33"/>
      <c r="K812" s="33"/>
      <c r="L812" s="33"/>
      <c r="M812" s="33"/>
      <c r="N812" s="33"/>
      <c r="O812" s="33"/>
    </row>
    <row r="813" spans="4:15">
      <c r="D813" s="33"/>
      <c r="E813" s="33"/>
      <c r="F813" s="33"/>
      <c r="G813" s="33"/>
      <c r="H813" s="33"/>
      <c r="I813" s="33"/>
      <c r="J813" s="33"/>
      <c r="K813" s="33"/>
      <c r="L813" s="33"/>
      <c r="M813" s="33"/>
      <c r="N813" s="33"/>
      <c r="O813" s="33"/>
    </row>
    <row r="814" spans="4:15">
      <c r="D814" s="33"/>
      <c r="E814" s="33"/>
      <c r="F814" s="33"/>
      <c r="G814" s="33"/>
      <c r="H814" s="33"/>
      <c r="I814" s="33"/>
      <c r="J814" s="33"/>
      <c r="K814" s="33"/>
      <c r="L814" s="33"/>
      <c r="M814" s="33"/>
      <c r="N814" s="33"/>
      <c r="O814" s="33"/>
    </row>
    <row r="815" spans="4:15">
      <c r="D815" s="33"/>
      <c r="E815" s="33"/>
      <c r="F815" s="33"/>
      <c r="G815" s="33"/>
      <c r="H815" s="33"/>
      <c r="I815" s="33"/>
      <c r="J815" s="33"/>
      <c r="K815" s="33"/>
      <c r="L815" s="33"/>
      <c r="M815" s="33"/>
      <c r="N815" s="33"/>
      <c r="O815" s="33"/>
    </row>
    <row r="816" spans="4:15">
      <c r="D816" s="33"/>
      <c r="E816" s="33"/>
      <c r="F816" s="33"/>
      <c r="G816" s="33"/>
      <c r="H816" s="33"/>
      <c r="I816" s="33"/>
      <c r="J816" s="33"/>
      <c r="K816" s="33"/>
      <c r="L816" s="33"/>
      <c r="M816" s="33"/>
      <c r="N816" s="33"/>
      <c r="O816" s="33"/>
    </row>
    <row r="817" spans="4:15">
      <c r="D817" s="33"/>
      <c r="E817" s="33"/>
      <c r="F817" s="33"/>
      <c r="G817" s="33"/>
      <c r="H817" s="33"/>
      <c r="I817" s="33"/>
      <c r="J817" s="33"/>
      <c r="K817" s="33"/>
      <c r="L817" s="33"/>
      <c r="M817" s="33"/>
      <c r="N817" s="33"/>
      <c r="O817" s="33"/>
    </row>
    <row r="818" spans="4:15">
      <c r="D818" s="33"/>
      <c r="E818" s="33"/>
      <c r="F818" s="33"/>
      <c r="G818" s="33"/>
      <c r="H818" s="33"/>
      <c r="I818" s="33"/>
      <c r="J818" s="33"/>
      <c r="K818" s="33"/>
      <c r="L818" s="33"/>
      <c r="M818" s="33"/>
      <c r="N818" s="33"/>
      <c r="O818" s="33"/>
    </row>
    <row r="819" spans="4:15">
      <c r="D819" s="33"/>
      <c r="E819" s="33"/>
      <c r="F819" s="33"/>
      <c r="G819" s="33"/>
      <c r="H819" s="33"/>
      <c r="I819" s="33"/>
      <c r="J819" s="33"/>
      <c r="K819" s="33"/>
      <c r="L819" s="33"/>
      <c r="M819" s="33"/>
      <c r="N819" s="33"/>
      <c r="O819" s="33"/>
    </row>
    <row r="820" spans="4:15">
      <c r="D820" s="33"/>
      <c r="E820" s="33"/>
      <c r="F820" s="33"/>
      <c r="G820" s="33"/>
      <c r="H820" s="33"/>
      <c r="I820" s="33"/>
      <c r="J820" s="33"/>
      <c r="K820" s="33"/>
      <c r="L820" s="33"/>
      <c r="M820" s="33"/>
      <c r="N820" s="33"/>
      <c r="O820" s="33"/>
    </row>
    <row r="821" spans="4:15">
      <c r="D821" s="33"/>
      <c r="E821" s="33"/>
      <c r="F821" s="33"/>
      <c r="G821" s="33"/>
      <c r="H821" s="33"/>
      <c r="I821" s="33"/>
      <c r="J821" s="33"/>
      <c r="K821" s="33"/>
      <c r="L821" s="33"/>
      <c r="M821" s="33"/>
      <c r="N821" s="33"/>
      <c r="O821" s="33"/>
    </row>
    <row r="822" spans="4:15">
      <c r="D822" s="33"/>
      <c r="E822" s="33"/>
      <c r="F822" s="33"/>
      <c r="G822" s="33"/>
      <c r="H822" s="33"/>
      <c r="I822" s="33"/>
      <c r="J822" s="33"/>
      <c r="K822" s="33"/>
      <c r="L822" s="33"/>
      <c r="M822" s="33"/>
      <c r="N822" s="33"/>
      <c r="O822" s="33"/>
    </row>
    <row r="823" spans="4:15">
      <c r="D823" s="33"/>
      <c r="E823" s="33"/>
      <c r="F823" s="33"/>
      <c r="G823" s="33"/>
      <c r="H823" s="33"/>
      <c r="I823" s="33"/>
      <c r="J823" s="33"/>
      <c r="K823" s="33"/>
      <c r="L823" s="33"/>
      <c r="M823" s="33"/>
      <c r="N823" s="33"/>
      <c r="O823" s="33"/>
    </row>
    <row r="824" spans="4:15">
      <c r="D824" s="33"/>
      <c r="E824" s="33"/>
      <c r="F824" s="33"/>
      <c r="G824" s="33"/>
      <c r="H824" s="33"/>
      <c r="I824" s="33"/>
      <c r="J824" s="33"/>
      <c r="K824" s="33"/>
      <c r="L824" s="33"/>
      <c r="M824" s="33"/>
      <c r="N824" s="33"/>
      <c r="O824" s="33"/>
    </row>
    <row r="825" spans="4:15">
      <c r="D825" s="33"/>
      <c r="E825" s="33"/>
      <c r="F825" s="33"/>
      <c r="G825" s="33"/>
      <c r="H825" s="33"/>
      <c r="I825" s="33"/>
      <c r="J825" s="33"/>
      <c r="K825" s="33"/>
      <c r="L825" s="33"/>
      <c r="M825" s="33"/>
      <c r="N825" s="33"/>
      <c r="O825" s="33"/>
    </row>
    <row r="826" spans="4:15">
      <c r="D826" s="33"/>
      <c r="E826" s="33"/>
      <c r="F826" s="33"/>
      <c r="G826" s="33"/>
      <c r="H826" s="33"/>
      <c r="I826" s="33"/>
      <c r="J826" s="33"/>
      <c r="K826" s="33"/>
      <c r="L826" s="33"/>
      <c r="M826" s="33"/>
      <c r="N826" s="33"/>
      <c r="O826" s="33"/>
    </row>
    <row r="827" spans="4:15">
      <c r="D827" s="33"/>
      <c r="E827" s="33"/>
      <c r="F827" s="33"/>
      <c r="G827" s="33"/>
      <c r="H827" s="33"/>
      <c r="I827" s="33"/>
      <c r="J827" s="33"/>
      <c r="K827" s="33"/>
      <c r="L827" s="33"/>
      <c r="M827" s="33"/>
      <c r="N827" s="33"/>
      <c r="O827" s="33"/>
    </row>
    <row r="828" spans="4:15">
      <c r="D828" s="33"/>
      <c r="E828" s="33"/>
      <c r="F828" s="33"/>
      <c r="G828" s="33"/>
      <c r="H828" s="33"/>
      <c r="I828" s="33"/>
      <c r="J828" s="33"/>
      <c r="K828" s="33"/>
      <c r="L828" s="33"/>
      <c r="M828" s="33"/>
      <c r="N828" s="33"/>
      <c r="O828" s="33"/>
    </row>
    <row r="829" spans="4:15">
      <c r="D829" s="33"/>
      <c r="E829" s="33"/>
      <c r="F829" s="33"/>
      <c r="G829" s="33"/>
      <c r="H829" s="33"/>
      <c r="I829" s="33"/>
      <c r="J829" s="33"/>
      <c r="K829" s="33"/>
      <c r="L829" s="33"/>
      <c r="M829" s="33"/>
      <c r="N829" s="33"/>
      <c r="O829" s="33"/>
    </row>
    <row r="830" spans="4:15">
      <c r="D830" s="33"/>
      <c r="E830" s="33"/>
      <c r="F830" s="33"/>
      <c r="G830" s="33"/>
      <c r="H830" s="33"/>
      <c r="I830" s="33"/>
      <c r="J830" s="33"/>
      <c r="K830" s="33"/>
      <c r="L830" s="33"/>
      <c r="M830" s="33"/>
      <c r="N830" s="33"/>
      <c r="O830" s="33"/>
    </row>
    <row r="831" spans="4:15">
      <c r="D831" s="33"/>
      <c r="E831" s="33"/>
      <c r="F831" s="33"/>
      <c r="G831" s="33"/>
      <c r="H831" s="33"/>
      <c r="I831" s="33"/>
      <c r="J831" s="33"/>
      <c r="K831" s="33"/>
      <c r="L831" s="33"/>
      <c r="M831" s="33"/>
      <c r="N831" s="33"/>
      <c r="O831" s="33"/>
    </row>
    <row r="832" spans="4:15">
      <c r="D832" s="33"/>
      <c r="E832" s="33"/>
      <c r="F832" s="33"/>
      <c r="G832" s="33"/>
      <c r="H832" s="33"/>
      <c r="I832" s="33"/>
      <c r="J832" s="33"/>
      <c r="K832" s="33"/>
      <c r="L832" s="33"/>
      <c r="M832" s="33"/>
      <c r="N832" s="33"/>
      <c r="O832" s="33"/>
    </row>
    <row r="833" spans="4:15">
      <c r="D833" s="33"/>
      <c r="E833" s="33"/>
      <c r="F833" s="33"/>
      <c r="G833" s="33"/>
      <c r="H833" s="33"/>
      <c r="I833" s="33"/>
      <c r="J833" s="33"/>
      <c r="K833" s="33"/>
      <c r="L833" s="33"/>
      <c r="M833" s="33"/>
      <c r="N833" s="33"/>
      <c r="O833" s="33"/>
    </row>
    <row r="834" spans="4:15">
      <c r="D834" s="33"/>
      <c r="E834" s="33"/>
      <c r="F834" s="33"/>
      <c r="G834" s="33"/>
      <c r="H834" s="33"/>
      <c r="I834" s="33"/>
      <c r="J834" s="33"/>
      <c r="K834" s="33"/>
      <c r="L834" s="33"/>
      <c r="M834" s="33"/>
      <c r="N834" s="33"/>
      <c r="O834" s="33"/>
    </row>
    <row r="835" spans="4:15">
      <c r="D835" s="33"/>
      <c r="E835" s="33"/>
      <c r="F835" s="33"/>
      <c r="G835" s="33"/>
      <c r="H835" s="33"/>
      <c r="I835" s="33"/>
      <c r="J835" s="33"/>
      <c r="K835" s="33"/>
      <c r="L835" s="33"/>
      <c r="M835" s="33"/>
      <c r="N835" s="33"/>
      <c r="O835" s="33"/>
    </row>
    <row r="836" spans="4:15">
      <c r="D836" s="33"/>
      <c r="E836" s="33"/>
      <c r="F836" s="33"/>
      <c r="G836" s="33"/>
      <c r="H836" s="33"/>
      <c r="I836" s="33"/>
      <c r="J836" s="33"/>
      <c r="K836" s="33"/>
      <c r="L836" s="33"/>
      <c r="M836" s="33"/>
      <c r="N836" s="33"/>
      <c r="O836" s="33"/>
    </row>
    <row r="837" spans="4:15">
      <c r="D837" s="33"/>
      <c r="E837" s="33"/>
      <c r="F837" s="33"/>
      <c r="G837" s="33"/>
      <c r="H837" s="33"/>
      <c r="I837" s="33"/>
      <c r="J837" s="33"/>
      <c r="K837" s="33"/>
      <c r="L837" s="33"/>
      <c r="M837" s="33"/>
      <c r="N837" s="33"/>
      <c r="O837" s="33"/>
    </row>
    <row r="838" spans="4:15">
      <c r="D838" s="33"/>
      <c r="E838" s="33"/>
      <c r="F838" s="33"/>
      <c r="G838" s="33"/>
      <c r="H838" s="33"/>
      <c r="I838" s="33"/>
      <c r="J838" s="33"/>
      <c r="K838" s="33"/>
      <c r="L838" s="33"/>
      <c r="M838" s="33"/>
      <c r="N838" s="33"/>
      <c r="O838" s="33"/>
    </row>
    <row r="839" spans="4:15">
      <c r="D839" s="33"/>
      <c r="E839" s="33"/>
      <c r="F839" s="33"/>
      <c r="G839" s="33"/>
      <c r="H839" s="33"/>
      <c r="I839" s="33"/>
      <c r="J839" s="33"/>
      <c r="K839" s="33"/>
      <c r="L839" s="33"/>
      <c r="M839" s="33"/>
      <c r="N839" s="33"/>
      <c r="O839" s="33"/>
    </row>
    <row r="840" spans="4:15">
      <c r="D840" s="33"/>
      <c r="E840" s="33"/>
      <c r="F840" s="33"/>
      <c r="G840" s="33"/>
      <c r="H840" s="33"/>
      <c r="I840" s="33"/>
      <c r="J840" s="33"/>
      <c r="K840" s="33"/>
      <c r="L840" s="33"/>
      <c r="M840" s="33"/>
      <c r="N840" s="33"/>
      <c r="O840" s="33"/>
    </row>
    <row r="841" spans="4:15">
      <c r="D841" s="33"/>
      <c r="E841" s="33"/>
      <c r="F841" s="33"/>
      <c r="G841" s="33"/>
      <c r="H841" s="33"/>
      <c r="I841" s="33"/>
      <c r="J841" s="33"/>
      <c r="K841" s="33"/>
      <c r="L841" s="33"/>
      <c r="M841" s="33"/>
      <c r="N841" s="33"/>
      <c r="O841" s="33"/>
    </row>
    <row r="842" spans="4:15">
      <c r="D842" s="33"/>
      <c r="E842" s="33"/>
      <c r="F842" s="33"/>
      <c r="G842" s="33"/>
      <c r="H842" s="33"/>
      <c r="I842" s="33"/>
      <c r="J842" s="33"/>
      <c r="K842" s="33"/>
      <c r="L842" s="33"/>
      <c r="M842" s="33"/>
      <c r="N842" s="33"/>
      <c r="O842" s="33"/>
    </row>
    <row r="843" spans="4:15">
      <c r="D843" s="33"/>
      <c r="E843" s="33"/>
      <c r="F843" s="33"/>
      <c r="G843" s="33"/>
      <c r="H843" s="33"/>
      <c r="I843" s="33"/>
      <c r="J843" s="33"/>
      <c r="K843" s="33"/>
      <c r="L843" s="33"/>
      <c r="M843" s="33"/>
      <c r="N843" s="33"/>
      <c r="O843" s="33"/>
    </row>
    <row r="844" spans="4:15">
      <c r="D844" s="33"/>
      <c r="E844" s="33"/>
      <c r="F844" s="33"/>
      <c r="G844" s="33"/>
      <c r="H844" s="33"/>
      <c r="I844" s="33"/>
      <c r="J844" s="33"/>
      <c r="K844" s="33"/>
      <c r="L844" s="33"/>
      <c r="M844" s="33"/>
      <c r="N844" s="33"/>
      <c r="O844" s="33"/>
    </row>
    <row r="845" spans="4:15">
      <c r="D845" s="33"/>
      <c r="E845" s="33"/>
      <c r="F845" s="33"/>
      <c r="G845" s="33"/>
      <c r="H845" s="33"/>
      <c r="I845" s="33"/>
      <c r="J845" s="33"/>
      <c r="K845" s="33"/>
      <c r="L845" s="33"/>
      <c r="M845" s="33"/>
      <c r="N845" s="33"/>
      <c r="O845" s="33"/>
    </row>
    <row r="846" spans="4:15">
      <c r="D846" s="33"/>
      <c r="E846" s="33"/>
      <c r="F846" s="33"/>
      <c r="G846" s="33"/>
      <c r="H846" s="33"/>
      <c r="I846" s="33"/>
      <c r="J846" s="33"/>
      <c r="K846" s="33"/>
      <c r="L846" s="33"/>
      <c r="M846" s="33"/>
      <c r="N846" s="33"/>
      <c r="O846" s="33"/>
    </row>
    <row r="847" spans="4:15">
      <c r="D847" s="33"/>
      <c r="E847" s="33"/>
      <c r="F847" s="33"/>
      <c r="G847" s="33"/>
      <c r="H847" s="33"/>
      <c r="I847" s="33"/>
      <c r="J847" s="33"/>
      <c r="K847" s="33"/>
      <c r="L847" s="33"/>
      <c r="M847" s="33"/>
      <c r="N847" s="33"/>
      <c r="O847" s="33"/>
    </row>
    <row r="848" spans="4:15">
      <c r="D848" s="33"/>
      <c r="E848" s="33"/>
      <c r="F848" s="33"/>
      <c r="G848" s="33"/>
      <c r="H848" s="33"/>
      <c r="I848" s="33"/>
      <c r="J848" s="33"/>
      <c r="K848" s="33"/>
      <c r="L848" s="33"/>
      <c r="M848" s="33"/>
      <c r="N848" s="33"/>
      <c r="O848" s="33"/>
    </row>
    <row r="849" spans="4:15">
      <c r="D849" s="33"/>
      <c r="E849" s="33"/>
      <c r="F849" s="33"/>
      <c r="G849" s="33"/>
      <c r="H849" s="33"/>
      <c r="I849" s="33"/>
      <c r="J849" s="33"/>
      <c r="K849" s="33"/>
      <c r="L849" s="33"/>
      <c r="M849" s="33"/>
      <c r="N849" s="33"/>
      <c r="O849" s="33"/>
    </row>
    <row r="850" spans="4:15">
      <c r="D850" s="33"/>
      <c r="E850" s="33"/>
      <c r="F850" s="33"/>
      <c r="G850" s="33"/>
      <c r="H850" s="33"/>
      <c r="I850" s="33"/>
      <c r="J850" s="33"/>
      <c r="K850" s="33"/>
      <c r="L850" s="33"/>
      <c r="M850" s="33"/>
      <c r="N850" s="33"/>
      <c r="O850" s="33"/>
    </row>
    <row r="851" spans="4:15">
      <c r="D851" s="33"/>
      <c r="E851" s="33"/>
      <c r="F851" s="33"/>
      <c r="G851" s="33"/>
      <c r="H851" s="33"/>
      <c r="I851" s="33"/>
      <c r="J851" s="33"/>
      <c r="K851" s="33"/>
      <c r="L851" s="33"/>
      <c r="M851" s="33"/>
      <c r="N851" s="33"/>
      <c r="O851" s="33"/>
    </row>
    <row r="852" spans="4:15">
      <c r="D852" s="33"/>
      <c r="E852" s="33"/>
      <c r="F852" s="33"/>
      <c r="G852" s="33"/>
      <c r="H852" s="33"/>
      <c r="I852" s="33"/>
      <c r="J852" s="33"/>
      <c r="K852" s="33"/>
      <c r="L852" s="33"/>
      <c r="M852" s="33"/>
      <c r="N852" s="33"/>
      <c r="O852" s="33"/>
    </row>
    <row r="853" spans="4:15">
      <c r="D853" s="33"/>
      <c r="E853" s="33"/>
      <c r="F853" s="33"/>
      <c r="G853" s="33"/>
      <c r="H853" s="33"/>
      <c r="I853" s="33"/>
      <c r="J853" s="33"/>
      <c r="K853" s="33"/>
      <c r="L853" s="33"/>
      <c r="M853" s="33"/>
      <c r="N853" s="33"/>
      <c r="O853" s="33"/>
    </row>
    <row r="854" spans="4:15">
      <c r="D854" s="33"/>
      <c r="E854" s="33"/>
      <c r="F854" s="33"/>
      <c r="G854" s="33"/>
      <c r="H854" s="33"/>
      <c r="I854" s="33"/>
      <c r="J854" s="33"/>
      <c r="K854" s="33"/>
      <c r="L854" s="33"/>
      <c r="M854" s="33"/>
      <c r="N854" s="33"/>
      <c r="O854" s="33"/>
    </row>
    <row r="855" spans="4:15">
      <c r="D855" s="33"/>
      <c r="E855" s="33"/>
      <c r="F855" s="33"/>
      <c r="G855" s="33"/>
      <c r="H855" s="33"/>
      <c r="I855" s="33"/>
      <c r="J855" s="33"/>
      <c r="K855" s="33"/>
      <c r="L855" s="33"/>
      <c r="M855" s="33"/>
      <c r="N855" s="33"/>
      <c r="O855" s="33"/>
    </row>
    <row r="856" spans="4:15">
      <c r="D856" s="33"/>
      <c r="E856" s="33"/>
      <c r="F856" s="33"/>
      <c r="G856" s="33"/>
      <c r="H856" s="33"/>
      <c r="I856" s="33"/>
      <c r="J856" s="33"/>
      <c r="K856" s="33"/>
      <c r="L856" s="33"/>
      <c r="M856" s="33"/>
      <c r="N856" s="33"/>
      <c r="O856" s="33"/>
    </row>
    <row r="857" spans="4:15">
      <c r="D857" s="33"/>
      <c r="E857" s="33"/>
      <c r="F857" s="33"/>
      <c r="G857" s="33"/>
      <c r="H857" s="33"/>
      <c r="I857" s="33"/>
      <c r="J857" s="33"/>
      <c r="K857" s="33"/>
      <c r="L857" s="33"/>
      <c r="M857" s="33"/>
      <c r="N857" s="33"/>
      <c r="O857" s="33"/>
    </row>
    <row r="858" spans="4:15">
      <c r="D858" s="33"/>
      <c r="E858" s="33"/>
      <c r="F858" s="33"/>
      <c r="G858" s="33"/>
      <c r="H858" s="33"/>
      <c r="I858" s="33"/>
      <c r="J858" s="33"/>
      <c r="K858" s="33"/>
      <c r="L858" s="33"/>
      <c r="M858" s="33"/>
      <c r="N858" s="33"/>
      <c r="O858" s="33"/>
    </row>
    <row r="859" spans="4:15">
      <c r="D859" s="33"/>
      <c r="E859" s="33"/>
      <c r="F859" s="33"/>
      <c r="G859" s="33"/>
      <c r="H859" s="33"/>
      <c r="I859" s="33"/>
      <c r="J859" s="33"/>
      <c r="K859" s="33"/>
      <c r="L859" s="33"/>
      <c r="M859" s="33"/>
      <c r="N859" s="33"/>
      <c r="O859" s="33"/>
    </row>
    <row r="860" spans="4:15">
      <c r="D860" s="33"/>
      <c r="E860" s="33"/>
      <c r="F860" s="33"/>
      <c r="G860" s="33"/>
      <c r="H860" s="33"/>
      <c r="I860" s="33"/>
      <c r="J860" s="33"/>
      <c r="K860" s="33"/>
      <c r="L860" s="33"/>
      <c r="M860" s="33"/>
      <c r="N860" s="33"/>
      <c r="O860" s="33"/>
    </row>
    <row r="861" spans="4:15">
      <c r="D861" s="33"/>
      <c r="E861" s="33"/>
      <c r="F861" s="33"/>
      <c r="G861" s="33"/>
      <c r="H861" s="33"/>
      <c r="I861" s="33"/>
      <c r="J861" s="33"/>
      <c r="K861" s="33"/>
      <c r="L861" s="33"/>
      <c r="M861" s="33"/>
      <c r="N861" s="33"/>
      <c r="O861" s="33"/>
    </row>
    <row r="862" spans="4:15">
      <c r="D862" s="33"/>
      <c r="E862" s="33"/>
      <c r="F862" s="33"/>
      <c r="G862" s="33"/>
      <c r="H862" s="33"/>
      <c r="I862" s="33"/>
      <c r="J862" s="33"/>
      <c r="K862" s="33"/>
      <c r="L862" s="33"/>
      <c r="M862" s="33"/>
      <c r="N862" s="33"/>
      <c r="O862" s="33"/>
    </row>
    <row r="863" spans="4:15">
      <c r="D863" s="33"/>
      <c r="E863" s="33"/>
      <c r="F863" s="33"/>
      <c r="G863" s="33"/>
      <c r="H863" s="33"/>
      <c r="I863" s="33"/>
      <c r="J863" s="33"/>
      <c r="K863" s="33"/>
      <c r="L863" s="33"/>
      <c r="M863" s="33"/>
      <c r="N863" s="33"/>
      <c r="O863" s="33"/>
    </row>
    <row r="864" spans="4:15">
      <c r="D864" s="33"/>
      <c r="E864" s="33"/>
      <c r="F864" s="33"/>
      <c r="G864" s="33"/>
      <c r="H864" s="33"/>
      <c r="I864" s="33"/>
      <c r="J864" s="33"/>
      <c r="K864" s="33"/>
      <c r="L864" s="33"/>
      <c r="M864" s="33"/>
      <c r="N864" s="33"/>
      <c r="O864" s="33"/>
    </row>
    <row r="865" spans="4:15">
      <c r="D865" s="33"/>
      <c r="E865" s="33"/>
      <c r="F865" s="33"/>
      <c r="G865" s="33"/>
      <c r="H865" s="33"/>
      <c r="I865" s="33"/>
      <c r="J865" s="33"/>
      <c r="K865" s="33"/>
      <c r="L865" s="33"/>
      <c r="M865" s="33"/>
      <c r="N865" s="33"/>
      <c r="O865" s="33"/>
    </row>
    <row r="866" spans="4:15">
      <c r="D866" s="33"/>
      <c r="E866" s="33"/>
      <c r="F866" s="33"/>
      <c r="G866" s="33"/>
      <c r="H866" s="33"/>
      <c r="I866" s="33"/>
      <c r="J866" s="33"/>
      <c r="K866" s="33"/>
      <c r="L866" s="33"/>
      <c r="M866" s="33"/>
      <c r="N866" s="33"/>
      <c r="O866" s="33"/>
    </row>
    <row r="867" spans="4:15">
      <c r="D867" s="33"/>
      <c r="E867" s="33"/>
      <c r="F867" s="33"/>
      <c r="G867" s="33"/>
      <c r="H867" s="33"/>
      <c r="I867" s="33"/>
      <c r="J867" s="33"/>
      <c r="K867" s="33"/>
      <c r="L867" s="33"/>
      <c r="M867" s="33"/>
      <c r="N867" s="33"/>
      <c r="O867" s="33"/>
    </row>
    <row r="868" spans="4:15">
      <c r="D868" s="33"/>
      <c r="E868" s="33"/>
      <c r="F868" s="33"/>
      <c r="G868" s="33"/>
      <c r="H868" s="33"/>
      <c r="I868" s="33"/>
      <c r="J868" s="33"/>
      <c r="K868" s="33"/>
      <c r="L868" s="33"/>
      <c r="M868" s="33"/>
      <c r="N868" s="33"/>
      <c r="O868" s="33"/>
    </row>
    <row r="869" spans="4:15">
      <c r="D869" s="33"/>
      <c r="E869" s="33"/>
      <c r="F869" s="33"/>
      <c r="G869" s="33"/>
      <c r="H869" s="33"/>
      <c r="I869" s="33"/>
      <c r="J869" s="33"/>
      <c r="K869" s="33"/>
      <c r="L869" s="33"/>
      <c r="M869" s="33"/>
      <c r="N869" s="33"/>
      <c r="O869" s="33"/>
    </row>
    <row r="870" spans="4:15">
      <c r="D870" s="33"/>
      <c r="E870" s="33"/>
      <c r="F870" s="33"/>
      <c r="G870" s="33"/>
      <c r="H870" s="33"/>
      <c r="I870" s="33"/>
      <c r="J870" s="33"/>
      <c r="K870" s="33"/>
      <c r="L870" s="33"/>
      <c r="M870" s="33"/>
      <c r="N870" s="33"/>
      <c r="O870" s="33"/>
    </row>
    <row r="871" spans="4:15">
      <c r="D871" s="33"/>
      <c r="E871" s="33"/>
      <c r="F871" s="33"/>
      <c r="G871" s="33"/>
      <c r="H871" s="33"/>
      <c r="I871" s="33"/>
      <c r="J871" s="33"/>
      <c r="K871" s="33"/>
      <c r="L871" s="33"/>
      <c r="M871" s="33"/>
      <c r="N871" s="33"/>
      <c r="O871" s="33"/>
    </row>
    <row r="872" spans="4:15">
      <c r="D872" s="33"/>
      <c r="E872" s="33"/>
      <c r="F872" s="33"/>
      <c r="G872" s="33"/>
      <c r="H872" s="33"/>
      <c r="I872" s="33"/>
      <c r="J872" s="33"/>
      <c r="K872" s="33"/>
      <c r="L872" s="33"/>
      <c r="M872" s="33"/>
      <c r="N872" s="33"/>
      <c r="O872" s="33"/>
    </row>
    <row r="873" spans="4:15">
      <c r="D873" s="33"/>
      <c r="E873" s="33"/>
      <c r="F873" s="33"/>
      <c r="G873" s="33"/>
      <c r="H873" s="33"/>
      <c r="I873" s="33"/>
      <c r="J873" s="33"/>
      <c r="K873" s="33"/>
      <c r="L873" s="33"/>
      <c r="M873" s="33"/>
      <c r="N873" s="33"/>
      <c r="O873" s="33"/>
    </row>
    <row r="874" spans="4:15">
      <c r="D874" s="33"/>
      <c r="E874" s="33"/>
      <c r="F874" s="33"/>
      <c r="G874" s="33"/>
      <c r="H874" s="33"/>
      <c r="I874" s="33"/>
      <c r="J874" s="33"/>
      <c r="K874" s="33"/>
      <c r="L874" s="33"/>
      <c r="M874" s="33"/>
      <c r="N874" s="33"/>
      <c r="O874" s="33"/>
    </row>
    <row r="875" spans="4:15">
      <c r="D875" s="33"/>
      <c r="E875" s="33"/>
      <c r="F875" s="33"/>
      <c r="G875" s="33"/>
      <c r="H875" s="33"/>
      <c r="I875" s="33"/>
      <c r="J875" s="33"/>
      <c r="K875" s="33"/>
      <c r="L875" s="33"/>
      <c r="M875" s="33"/>
      <c r="N875" s="33"/>
      <c r="O875" s="33"/>
    </row>
    <row r="876" spans="4:15">
      <c r="D876" s="33"/>
      <c r="E876" s="33"/>
      <c r="F876" s="33"/>
      <c r="G876" s="33"/>
      <c r="H876" s="33"/>
      <c r="I876" s="33"/>
      <c r="J876" s="33"/>
      <c r="K876" s="33"/>
      <c r="L876" s="33"/>
      <c r="M876" s="33"/>
      <c r="N876" s="33"/>
      <c r="O876" s="33"/>
    </row>
    <row r="877" spans="4:15">
      <c r="D877" s="33"/>
      <c r="E877" s="33"/>
      <c r="F877" s="33"/>
      <c r="G877" s="33"/>
      <c r="H877" s="33"/>
      <c r="I877" s="33"/>
      <c r="J877" s="33"/>
      <c r="K877" s="33"/>
      <c r="L877" s="33"/>
      <c r="M877" s="33"/>
      <c r="N877" s="33"/>
      <c r="O877" s="33"/>
    </row>
    <row r="878" spans="4:15">
      <c r="D878" s="33"/>
      <c r="E878" s="33"/>
      <c r="F878" s="33"/>
      <c r="G878" s="33"/>
      <c r="H878" s="33"/>
      <c r="I878" s="33"/>
      <c r="J878" s="33"/>
      <c r="K878" s="33"/>
      <c r="L878" s="33"/>
      <c r="M878" s="33"/>
      <c r="N878" s="33"/>
      <c r="O878" s="33"/>
    </row>
    <row r="879" spans="4:15">
      <c r="D879" s="33"/>
      <c r="E879" s="33"/>
      <c r="F879" s="33"/>
      <c r="G879" s="33"/>
      <c r="H879" s="33"/>
      <c r="I879" s="33"/>
      <c r="J879" s="33"/>
      <c r="K879" s="33"/>
      <c r="L879" s="33"/>
      <c r="M879" s="33"/>
      <c r="N879" s="33"/>
      <c r="O879" s="33"/>
    </row>
    <row r="880" spans="4:15">
      <c r="D880" s="33"/>
      <c r="E880" s="33"/>
      <c r="F880" s="33"/>
      <c r="G880" s="33"/>
      <c r="H880" s="33"/>
      <c r="I880" s="33"/>
      <c r="J880" s="33"/>
      <c r="K880" s="33"/>
      <c r="L880" s="33"/>
      <c r="M880" s="33"/>
      <c r="N880" s="33"/>
      <c r="O880" s="33"/>
    </row>
    <row r="881" spans="4:15">
      <c r="D881" s="33"/>
      <c r="E881" s="33"/>
      <c r="F881" s="33"/>
      <c r="G881" s="33"/>
      <c r="H881" s="33"/>
      <c r="I881" s="33"/>
      <c r="J881" s="33"/>
      <c r="K881" s="33"/>
      <c r="L881" s="33"/>
      <c r="M881" s="33"/>
      <c r="N881" s="33"/>
      <c r="O881" s="33"/>
    </row>
    <row r="882" spans="4:15">
      <c r="D882" s="33"/>
      <c r="E882" s="33"/>
      <c r="F882" s="33"/>
      <c r="G882" s="33"/>
      <c r="H882" s="33"/>
      <c r="I882" s="33"/>
      <c r="J882" s="33"/>
      <c r="K882" s="33"/>
      <c r="L882" s="33"/>
      <c r="M882" s="33"/>
      <c r="N882" s="33"/>
      <c r="O882" s="33"/>
    </row>
    <row r="883" spans="4:15">
      <c r="D883" s="33"/>
      <c r="E883" s="33"/>
      <c r="F883" s="33"/>
      <c r="G883" s="33"/>
      <c r="H883" s="33"/>
      <c r="I883" s="33"/>
      <c r="J883" s="33"/>
      <c r="K883" s="33"/>
      <c r="L883" s="33"/>
      <c r="M883" s="33"/>
      <c r="N883" s="33"/>
      <c r="O883" s="33"/>
    </row>
    <row r="884" spans="4:15">
      <c r="D884" s="33"/>
      <c r="E884" s="33"/>
      <c r="F884" s="33"/>
      <c r="G884" s="33"/>
      <c r="H884" s="33"/>
      <c r="I884" s="33"/>
      <c r="J884" s="33"/>
      <c r="K884" s="33"/>
      <c r="L884" s="33"/>
      <c r="M884" s="33"/>
      <c r="N884" s="33"/>
      <c r="O884" s="33"/>
    </row>
    <row r="885" spans="4:15">
      <c r="D885" s="33"/>
      <c r="E885" s="33"/>
      <c r="F885" s="33"/>
      <c r="G885" s="33"/>
      <c r="H885" s="33"/>
      <c r="I885" s="33"/>
      <c r="J885" s="33"/>
      <c r="K885" s="33"/>
      <c r="L885" s="33"/>
      <c r="M885" s="33"/>
      <c r="N885" s="33"/>
      <c r="O885" s="33"/>
    </row>
    <row r="886" spans="4:15">
      <c r="D886" s="33"/>
      <c r="E886" s="33"/>
      <c r="F886" s="33"/>
      <c r="G886" s="33"/>
      <c r="H886" s="33"/>
      <c r="I886" s="33"/>
      <c r="J886" s="33"/>
      <c r="K886" s="33"/>
      <c r="L886" s="33"/>
      <c r="M886" s="33"/>
      <c r="N886" s="33"/>
      <c r="O886" s="33"/>
    </row>
    <row r="887" spans="4:15">
      <c r="D887" s="33"/>
      <c r="E887" s="33"/>
      <c r="F887" s="33"/>
      <c r="G887" s="33"/>
      <c r="H887" s="33"/>
      <c r="I887" s="33"/>
      <c r="J887" s="33"/>
      <c r="K887" s="33"/>
      <c r="L887" s="33"/>
      <c r="M887" s="33"/>
      <c r="N887" s="33"/>
      <c r="O887" s="33"/>
    </row>
    <row r="888" spans="4:15">
      <c r="D888" s="33"/>
      <c r="E888" s="33"/>
      <c r="F888" s="33"/>
      <c r="G888" s="33"/>
      <c r="H888" s="33"/>
      <c r="I888" s="33"/>
      <c r="J888" s="33"/>
      <c r="K888" s="33"/>
      <c r="L888" s="33"/>
      <c r="M888" s="33"/>
      <c r="N888" s="33"/>
      <c r="O888" s="33"/>
    </row>
    <row r="889" spans="4:15">
      <c r="D889" s="33"/>
      <c r="E889" s="33"/>
      <c r="F889" s="33"/>
      <c r="G889" s="33"/>
      <c r="H889" s="33"/>
      <c r="I889" s="33"/>
      <c r="J889" s="33"/>
      <c r="K889" s="33"/>
      <c r="L889" s="33"/>
      <c r="M889" s="33"/>
      <c r="N889" s="33"/>
      <c r="O889" s="33"/>
    </row>
    <row r="890" spans="4:15">
      <c r="D890" s="33"/>
      <c r="E890" s="33"/>
      <c r="F890" s="33"/>
      <c r="G890" s="33"/>
      <c r="H890" s="33"/>
      <c r="I890" s="33"/>
      <c r="J890" s="33"/>
      <c r="K890" s="33"/>
      <c r="L890" s="33"/>
      <c r="M890" s="33"/>
      <c r="N890" s="33"/>
      <c r="O890" s="33"/>
    </row>
    <row r="891" spans="4:15">
      <c r="D891" s="33"/>
      <c r="E891" s="33"/>
      <c r="F891" s="33"/>
      <c r="G891" s="33"/>
      <c r="H891" s="33"/>
      <c r="I891" s="33"/>
      <c r="J891" s="33"/>
      <c r="K891" s="33"/>
      <c r="L891" s="33"/>
      <c r="M891" s="33"/>
      <c r="N891" s="33"/>
      <c r="O891" s="33"/>
    </row>
    <row r="892" spans="4:15">
      <c r="D892" s="33"/>
      <c r="E892" s="33"/>
      <c r="F892" s="33"/>
      <c r="G892" s="33"/>
      <c r="H892" s="33"/>
      <c r="I892" s="33"/>
      <c r="J892" s="33"/>
      <c r="K892" s="33"/>
      <c r="L892" s="33"/>
      <c r="M892" s="33"/>
      <c r="N892" s="33"/>
      <c r="O892" s="33"/>
    </row>
    <row r="893" spans="4:15">
      <c r="D893" s="33"/>
      <c r="E893" s="33"/>
      <c r="F893" s="33"/>
      <c r="G893" s="33"/>
      <c r="H893" s="33"/>
      <c r="I893" s="33"/>
      <c r="J893" s="33"/>
      <c r="K893" s="33"/>
      <c r="L893" s="33"/>
      <c r="M893" s="33"/>
      <c r="N893" s="33"/>
      <c r="O893" s="33"/>
    </row>
    <row r="894" spans="4:15">
      <c r="D894" s="33"/>
      <c r="E894" s="33"/>
      <c r="F894" s="33"/>
      <c r="G894" s="33"/>
      <c r="H894" s="33"/>
      <c r="I894" s="33"/>
      <c r="J894" s="33"/>
      <c r="K894" s="33"/>
      <c r="L894" s="33"/>
      <c r="M894" s="33"/>
      <c r="N894" s="33"/>
      <c r="O894" s="33"/>
    </row>
    <row r="895" spans="4:15">
      <c r="D895" s="33"/>
      <c r="E895" s="33"/>
      <c r="F895" s="33"/>
      <c r="G895" s="33"/>
      <c r="H895" s="33"/>
      <c r="I895" s="33"/>
      <c r="J895" s="33"/>
      <c r="K895" s="33"/>
      <c r="L895" s="33"/>
      <c r="M895" s="33"/>
      <c r="N895" s="33"/>
      <c r="O895" s="33"/>
    </row>
    <row r="896" spans="4:15">
      <c r="D896" s="33"/>
      <c r="E896" s="33"/>
      <c r="F896" s="33"/>
      <c r="G896" s="33"/>
      <c r="H896" s="33"/>
      <c r="I896" s="33"/>
      <c r="J896" s="33"/>
      <c r="K896" s="33"/>
      <c r="L896" s="33"/>
      <c r="M896" s="33"/>
      <c r="N896" s="33"/>
      <c r="O896" s="33"/>
    </row>
    <row r="897" spans="4:15">
      <c r="D897" s="33"/>
      <c r="E897" s="33"/>
      <c r="F897" s="33"/>
      <c r="G897" s="33"/>
      <c r="H897" s="33"/>
      <c r="I897" s="33"/>
      <c r="J897" s="33"/>
      <c r="K897" s="33"/>
      <c r="L897" s="33"/>
      <c r="M897" s="33"/>
      <c r="N897" s="33"/>
      <c r="O897" s="33"/>
    </row>
    <row r="898" spans="4:15">
      <c r="D898" s="33"/>
      <c r="E898" s="33"/>
      <c r="F898" s="33"/>
      <c r="G898" s="33"/>
      <c r="H898" s="33"/>
      <c r="I898" s="33"/>
      <c r="J898" s="33"/>
      <c r="K898" s="33"/>
      <c r="L898" s="33"/>
      <c r="M898" s="33"/>
      <c r="N898" s="33"/>
      <c r="O898" s="33"/>
    </row>
    <row r="899" spans="4:15">
      <c r="D899" s="33"/>
      <c r="E899" s="33"/>
      <c r="F899" s="33"/>
      <c r="G899" s="33"/>
      <c r="H899" s="33"/>
      <c r="I899" s="33"/>
      <c r="J899" s="33"/>
      <c r="K899" s="33"/>
      <c r="L899" s="33"/>
      <c r="M899" s="33"/>
      <c r="N899" s="33"/>
      <c r="O899" s="33"/>
    </row>
    <row r="900" spans="4:15">
      <c r="D900" s="33"/>
      <c r="E900" s="33"/>
      <c r="F900" s="33"/>
      <c r="G900" s="33"/>
      <c r="H900" s="33"/>
      <c r="I900" s="33"/>
      <c r="J900" s="33"/>
      <c r="K900" s="33"/>
      <c r="L900" s="33"/>
      <c r="M900" s="33"/>
      <c r="N900" s="33"/>
      <c r="O900" s="33"/>
    </row>
    <row r="901" spans="4:15">
      <c r="D901" s="33"/>
      <c r="E901" s="33"/>
      <c r="F901" s="33"/>
      <c r="G901" s="33"/>
      <c r="H901" s="33"/>
      <c r="I901" s="33"/>
      <c r="J901" s="33"/>
      <c r="K901" s="33"/>
      <c r="L901" s="33"/>
      <c r="M901" s="33"/>
      <c r="N901" s="33"/>
      <c r="O901" s="33"/>
    </row>
    <row r="902" spans="4:15">
      <c r="D902" s="33"/>
      <c r="E902" s="33"/>
      <c r="F902" s="33"/>
      <c r="G902" s="33"/>
      <c r="H902" s="33"/>
      <c r="I902" s="33"/>
      <c r="J902" s="33"/>
      <c r="K902" s="33"/>
      <c r="L902" s="33"/>
      <c r="M902" s="33"/>
      <c r="N902" s="33"/>
      <c r="O902" s="33"/>
    </row>
    <row r="903" spans="4:15">
      <c r="D903" s="33"/>
      <c r="E903" s="33"/>
      <c r="F903" s="33"/>
      <c r="G903" s="33"/>
      <c r="H903" s="33"/>
      <c r="I903" s="33"/>
      <c r="J903" s="33"/>
      <c r="K903" s="33"/>
      <c r="L903" s="33"/>
      <c r="M903" s="33"/>
      <c r="N903" s="33"/>
      <c r="O903" s="33"/>
    </row>
    <row r="904" spans="4:15">
      <c r="D904" s="33"/>
      <c r="E904" s="33"/>
      <c r="F904" s="33"/>
      <c r="G904" s="33"/>
      <c r="H904" s="33"/>
      <c r="I904" s="33"/>
      <c r="J904" s="33"/>
      <c r="K904" s="33"/>
      <c r="L904" s="33"/>
      <c r="M904" s="33"/>
      <c r="N904" s="33"/>
      <c r="O904" s="33"/>
    </row>
    <row r="905" spans="4:15">
      <c r="D905" s="33"/>
      <c r="E905" s="33"/>
      <c r="F905" s="33"/>
      <c r="G905" s="33"/>
      <c r="H905" s="33"/>
      <c r="I905" s="33"/>
      <c r="J905" s="33"/>
      <c r="K905" s="33"/>
      <c r="L905" s="33"/>
      <c r="M905" s="33"/>
      <c r="N905" s="33"/>
      <c r="O905" s="33"/>
    </row>
    <row r="906" spans="4:15">
      <c r="D906" s="33"/>
      <c r="E906" s="33"/>
      <c r="F906" s="33"/>
      <c r="G906" s="33"/>
      <c r="H906" s="33"/>
      <c r="I906" s="33"/>
      <c r="J906" s="33"/>
      <c r="K906" s="33"/>
      <c r="L906" s="33"/>
      <c r="M906" s="33"/>
      <c r="N906" s="33"/>
      <c r="O906" s="33"/>
    </row>
    <row r="907" spans="4:15">
      <c r="D907" s="33"/>
      <c r="E907" s="33"/>
      <c r="F907" s="33"/>
      <c r="G907" s="33"/>
      <c r="H907" s="33"/>
      <c r="I907" s="33"/>
      <c r="J907" s="33"/>
      <c r="K907" s="33"/>
      <c r="L907" s="33"/>
      <c r="M907" s="33"/>
      <c r="N907" s="33"/>
      <c r="O907" s="33"/>
    </row>
    <row r="908" spans="4:15">
      <c r="D908" s="33"/>
      <c r="E908" s="33"/>
      <c r="F908" s="33"/>
      <c r="G908" s="33"/>
      <c r="H908" s="33"/>
      <c r="I908" s="33"/>
      <c r="J908" s="33"/>
      <c r="K908" s="33"/>
      <c r="L908" s="33"/>
      <c r="M908" s="33"/>
      <c r="N908" s="33"/>
      <c r="O908" s="33"/>
    </row>
    <row r="909" spans="4:15">
      <c r="D909" s="33"/>
      <c r="E909" s="33"/>
      <c r="F909" s="33"/>
      <c r="G909" s="33"/>
      <c r="H909" s="33"/>
      <c r="I909" s="33"/>
      <c r="J909" s="33"/>
      <c r="K909" s="33"/>
      <c r="L909" s="33"/>
      <c r="M909" s="33"/>
      <c r="N909" s="33"/>
      <c r="O909" s="33"/>
    </row>
    <row r="910" spans="4:15">
      <c r="D910" s="33"/>
      <c r="E910" s="33"/>
      <c r="F910" s="33"/>
      <c r="G910" s="33"/>
      <c r="H910" s="33"/>
      <c r="I910" s="33"/>
      <c r="J910" s="33"/>
      <c r="K910" s="33"/>
      <c r="L910" s="33"/>
      <c r="M910" s="33"/>
      <c r="N910" s="33"/>
      <c r="O910" s="33"/>
    </row>
    <row r="911" spans="4:15">
      <c r="D911" s="33"/>
      <c r="E911" s="33"/>
      <c r="F911" s="33"/>
      <c r="G911" s="33"/>
      <c r="H911" s="33"/>
      <c r="I911" s="33"/>
      <c r="J911" s="33"/>
      <c r="K911" s="33"/>
      <c r="L911" s="33"/>
      <c r="M911" s="33"/>
      <c r="N911" s="33"/>
      <c r="O911" s="33"/>
    </row>
    <row r="912" spans="4:15">
      <c r="D912" s="33"/>
      <c r="E912" s="33"/>
      <c r="F912" s="33"/>
      <c r="G912" s="33"/>
      <c r="H912" s="33"/>
      <c r="I912" s="33"/>
      <c r="J912" s="33"/>
      <c r="K912" s="33"/>
      <c r="L912" s="33"/>
      <c r="M912" s="33"/>
      <c r="N912" s="33"/>
      <c r="O912" s="33"/>
    </row>
    <row r="913" spans="4:15">
      <c r="D913" s="33"/>
      <c r="E913" s="33"/>
      <c r="F913" s="33"/>
      <c r="G913" s="33"/>
      <c r="H913" s="33"/>
      <c r="I913" s="33"/>
      <c r="J913" s="33"/>
      <c r="K913" s="33"/>
      <c r="L913" s="33"/>
      <c r="M913" s="33"/>
      <c r="N913" s="33"/>
      <c r="O913" s="33"/>
    </row>
    <row r="914" spans="4:15">
      <c r="D914" s="33"/>
      <c r="E914" s="33"/>
      <c r="F914" s="33"/>
      <c r="G914" s="33"/>
      <c r="H914" s="33"/>
      <c r="I914" s="33"/>
      <c r="J914" s="33"/>
      <c r="K914" s="33"/>
      <c r="L914" s="33"/>
      <c r="M914" s="33"/>
      <c r="N914" s="33"/>
      <c r="O914" s="33"/>
    </row>
    <row r="915" spans="4:15">
      <c r="D915" s="33"/>
      <c r="E915" s="33"/>
      <c r="F915" s="33"/>
      <c r="G915" s="33"/>
      <c r="H915" s="33"/>
      <c r="I915" s="33"/>
      <c r="J915" s="33"/>
      <c r="K915" s="33"/>
      <c r="L915" s="33"/>
      <c r="M915" s="33"/>
      <c r="N915" s="33"/>
      <c r="O915" s="33"/>
    </row>
    <row r="916" spans="4:15">
      <c r="D916" s="33"/>
      <c r="E916" s="33"/>
      <c r="F916" s="33"/>
      <c r="G916" s="33"/>
      <c r="H916" s="33"/>
      <c r="I916" s="33"/>
      <c r="J916" s="33"/>
      <c r="K916" s="33"/>
      <c r="L916" s="33"/>
      <c r="M916" s="33"/>
      <c r="N916" s="33"/>
      <c r="O916" s="33"/>
    </row>
    <row r="917" spans="4:15">
      <c r="D917" s="33"/>
      <c r="E917" s="33"/>
      <c r="F917" s="33"/>
      <c r="G917" s="33"/>
      <c r="H917" s="33"/>
      <c r="I917" s="33"/>
      <c r="J917" s="33"/>
      <c r="K917" s="33"/>
      <c r="L917" s="33"/>
      <c r="M917" s="33"/>
      <c r="N917" s="33"/>
      <c r="O917" s="33"/>
    </row>
    <row r="918" spans="4:15">
      <c r="D918" s="33"/>
      <c r="E918" s="33"/>
      <c r="F918" s="33"/>
      <c r="G918" s="33"/>
      <c r="H918" s="33"/>
      <c r="I918" s="33"/>
      <c r="J918" s="33"/>
      <c r="K918" s="33"/>
      <c r="L918" s="33"/>
      <c r="M918" s="33"/>
      <c r="N918" s="33"/>
      <c r="O918" s="33"/>
    </row>
    <row r="919" spans="4:15">
      <c r="D919" s="33"/>
      <c r="E919" s="33"/>
      <c r="F919" s="33"/>
      <c r="G919" s="33"/>
      <c r="H919" s="33"/>
      <c r="I919" s="33"/>
      <c r="J919" s="33"/>
      <c r="K919" s="33"/>
      <c r="L919" s="33"/>
      <c r="M919" s="33"/>
      <c r="N919" s="33"/>
      <c r="O919" s="33"/>
    </row>
    <row r="920" spans="4:15">
      <c r="D920" s="33"/>
      <c r="E920" s="33"/>
      <c r="F920" s="33"/>
      <c r="G920" s="33"/>
      <c r="H920" s="33"/>
      <c r="I920" s="33"/>
      <c r="J920" s="33"/>
      <c r="K920" s="33"/>
      <c r="L920" s="33"/>
      <c r="M920" s="33"/>
      <c r="N920" s="33"/>
      <c r="O920" s="33"/>
    </row>
    <row r="921" spans="4:15">
      <c r="D921" s="33"/>
      <c r="E921" s="33"/>
      <c r="F921" s="33"/>
      <c r="G921" s="33"/>
      <c r="H921" s="33"/>
      <c r="I921" s="33"/>
      <c r="J921" s="33"/>
      <c r="K921" s="33"/>
      <c r="L921" s="33"/>
      <c r="M921" s="33"/>
      <c r="N921" s="33"/>
      <c r="O921" s="33"/>
    </row>
    <row r="922" spans="4:15">
      <c r="D922" s="33"/>
      <c r="E922" s="33"/>
      <c r="F922" s="33"/>
      <c r="G922" s="33"/>
      <c r="H922" s="33"/>
      <c r="I922" s="33"/>
      <c r="J922" s="33"/>
      <c r="K922" s="33"/>
      <c r="L922" s="33"/>
      <c r="M922" s="33"/>
      <c r="N922" s="33"/>
      <c r="O922" s="33"/>
    </row>
    <row r="923" spans="4:15">
      <c r="D923" s="33"/>
      <c r="E923" s="33"/>
      <c r="F923" s="33"/>
      <c r="G923" s="33"/>
      <c r="H923" s="33"/>
      <c r="I923" s="33"/>
      <c r="J923" s="33"/>
      <c r="K923" s="33"/>
      <c r="L923" s="33"/>
      <c r="M923" s="33"/>
      <c r="N923" s="33"/>
      <c r="O923" s="33"/>
    </row>
    <row r="924" spans="4:15">
      <c r="D924" s="33"/>
      <c r="E924" s="33"/>
      <c r="F924" s="33"/>
      <c r="G924" s="33"/>
      <c r="H924" s="33"/>
      <c r="I924" s="33"/>
      <c r="J924" s="33"/>
      <c r="K924" s="33"/>
      <c r="L924" s="33"/>
      <c r="M924" s="33"/>
      <c r="N924" s="33"/>
      <c r="O924" s="33"/>
    </row>
    <row r="925" spans="4:15">
      <c r="D925" s="33"/>
      <c r="E925" s="33"/>
      <c r="F925" s="33"/>
      <c r="G925" s="33"/>
      <c r="H925" s="33"/>
      <c r="I925" s="33"/>
      <c r="J925" s="33"/>
      <c r="K925" s="33"/>
      <c r="L925" s="33"/>
      <c r="M925" s="33"/>
      <c r="N925" s="33"/>
      <c r="O925" s="33"/>
    </row>
    <row r="926" spans="4:15">
      <c r="D926" s="33"/>
      <c r="E926" s="33"/>
      <c r="F926" s="33"/>
      <c r="G926" s="33"/>
      <c r="H926" s="33"/>
      <c r="I926" s="33"/>
      <c r="J926" s="33"/>
      <c r="K926" s="33"/>
      <c r="L926" s="33"/>
      <c r="M926" s="33"/>
      <c r="N926" s="33"/>
      <c r="O926" s="33"/>
    </row>
    <row r="927" spans="4:15">
      <c r="D927" s="33"/>
      <c r="E927" s="33"/>
      <c r="F927" s="33"/>
      <c r="G927" s="33"/>
      <c r="H927" s="33"/>
      <c r="I927" s="33"/>
      <c r="J927" s="33"/>
      <c r="K927" s="33"/>
      <c r="L927" s="33"/>
      <c r="M927" s="33"/>
      <c r="N927" s="33"/>
      <c r="O927" s="33"/>
    </row>
    <row r="928" spans="4:15">
      <c r="D928" s="33"/>
      <c r="E928" s="33"/>
      <c r="F928" s="33"/>
      <c r="G928" s="33"/>
      <c r="H928" s="33"/>
      <c r="I928" s="33"/>
      <c r="J928" s="33"/>
      <c r="K928" s="33"/>
      <c r="L928" s="33"/>
      <c r="M928" s="33"/>
      <c r="N928" s="33"/>
      <c r="O928" s="33"/>
    </row>
    <row r="929" spans="4:15">
      <c r="D929" s="33"/>
      <c r="E929" s="33"/>
      <c r="F929" s="33"/>
      <c r="G929" s="33"/>
      <c r="H929" s="33"/>
      <c r="I929" s="33"/>
      <c r="J929" s="33"/>
      <c r="K929" s="33"/>
      <c r="L929" s="33"/>
      <c r="M929" s="33"/>
      <c r="N929" s="33"/>
      <c r="O929" s="33"/>
    </row>
    <row r="930" spans="4:15">
      <c r="D930" s="33"/>
      <c r="E930" s="33"/>
      <c r="F930" s="33"/>
      <c r="G930" s="33"/>
      <c r="H930" s="33"/>
      <c r="I930" s="33"/>
      <c r="J930" s="33"/>
      <c r="K930" s="33"/>
      <c r="L930" s="33"/>
      <c r="M930" s="33"/>
      <c r="N930" s="33"/>
      <c r="O930" s="33"/>
    </row>
    <row r="931" spans="4:15">
      <c r="D931" s="33"/>
      <c r="E931" s="33"/>
      <c r="F931" s="33"/>
      <c r="G931" s="33"/>
      <c r="H931" s="33"/>
      <c r="I931" s="33"/>
      <c r="J931" s="33"/>
      <c r="K931" s="33"/>
      <c r="L931" s="33"/>
      <c r="M931" s="33"/>
      <c r="N931" s="33"/>
      <c r="O931" s="33"/>
    </row>
    <row r="932" spans="4:15">
      <c r="D932" s="33"/>
      <c r="E932" s="33"/>
      <c r="F932" s="33"/>
      <c r="G932" s="33"/>
      <c r="H932" s="33"/>
      <c r="I932" s="33"/>
      <c r="J932" s="33"/>
      <c r="K932" s="33"/>
      <c r="L932" s="33"/>
      <c r="M932" s="33"/>
      <c r="N932" s="33"/>
      <c r="O932" s="33"/>
    </row>
    <row r="933" spans="4:15">
      <c r="D933" s="33"/>
      <c r="E933" s="33"/>
      <c r="F933" s="33"/>
      <c r="G933" s="33"/>
      <c r="H933" s="33"/>
      <c r="I933" s="33"/>
      <c r="J933" s="33"/>
      <c r="K933" s="33"/>
      <c r="L933" s="33"/>
      <c r="M933" s="33"/>
      <c r="N933" s="33"/>
      <c r="O933" s="33"/>
    </row>
    <row r="934" spans="4:15">
      <c r="D934" s="33"/>
      <c r="E934" s="33"/>
      <c r="F934" s="33"/>
      <c r="G934" s="33"/>
      <c r="H934" s="33"/>
      <c r="I934" s="33"/>
      <c r="J934" s="33"/>
      <c r="K934" s="33"/>
      <c r="L934" s="33"/>
      <c r="M934" s="33"/>
      <c r="N934" s="33"/>
      <c r="O934" s="33"/>
    </row>
    <row r="935" spans="4:15">
      <c r="D935" s="33"/>
      <c r="E935" s="33"/>
      <c r="F935" s="33"/>
      <c r="G935" s="33"/>
      <c r="H935" s="33"/>
      <c r="I935" s="33"/>
      <c r="J935" s="33"/>
      <c r="K935" s="33"/>
      <c r="L935" s="33"/>
      <c r="M935" s="33"/>
      <c r="N935" s="33"/>
      <c r="O935" s="33"/>
    </row>
    <row r="936" spans="4:15">
      <c r="D936" s="33"/>
      <c r="E936" s="33"/>
      <c r="F936" s="33"/>
      <c r="G936" s="33"/>
      <c r="H936" s="33"/>
      <c r="I936" s="33"/>
      <c r="J936" s="33"/>
      <c r="K936" s="33"/>
      <c r="L936" s="33"/>
      <c r="M936" s="33"/>
      <c r="N936" s="33"/>
      <c r="O936" s="33"/>
    </row>
    <row r="937" spans="4:15">
      <c r="D937" s="33"/>
      <c r="E937" s="33"/>
      <c r="F937" s="33"/>
      <c r="G937" s="33"/>
      <c r="H937" s="33"/>
      <c r="I937" s="33"/>
      <c r="J937" s="33"/>
      <c r="K937" s="33"/>
      <c r="L937" s="33"/>
      <c r="M937" s="33"/>
      <c r="N937" s="33"/>
      <c r="O937" s="33"/>
    </row>
    <row r="938" spans="4:15">
      <c r="D938" s="33"/>
      <c r="E938" s="33"/>
      <c r="F938" s="33"/>
      <c r="G938" s="33"/>
      <c r="H938" s="33"/>
      <c r="I938" s="33"/>
      <c r="J938" s="33"/>
      <c r="K938" s="33"/>
      <c r="L938" s="33"/>
      <c r="M938" s="33"/>
      <c r="N938" s="33"/>
      <c r="O938" s="33"/>
    </row>
    <row r="939" spans="4:15">
      <c r="D939" s="33"/>
      <c r="E939" s="33"/>
      <c r="F939" s="33"/>
      <c r="G939" s="33"/>
      <c r="H939" s="33"/>
      <c r="I939" s="33"/>
      <c r="J939" s="33"/>
      <c r="K939" s="33"/>
      <c r="L939" s="33"/>
      <c r="M939" s="33"/>
      <c r="N939" s="33"/>
      <c r="O939" s="33"/>
    </row>
    <row r="940" spans="4:15">
      <c r="D940" s="33"/>
      <c r="E940" s="33"/>
      <c r="F940" s="33"/>
      <c r="G940" s="33"/>
      <c r="H940" s="33"/>
      <c r="I940" s="33"/>
      <c r="J940" s="33"/>
      <c r="K940" s="33"/>
      <c r="L940" s="33"/>
      <c r="M940" s="33"/>
      <c r="N940" s="33"/>
      <c r="O940" s="33"/>
    </row>
    <row r="941" spans="4:15">
      <c r="D941" s="33"/>
      <c r="E941" s="33"/>
      <c r="F941" s="33"/>
      <c r="G941" s="33"/>
      <c r="H941" s="33"/>
      <c r="I941" s="33"/>
      <c r="J941" s="33"/>
      <c r="K941" s="33"/>
      <c r="L941" s="33"/>
      <c r="M941" s="33"/>
      <c r="N941" s="33"/>
      <c r="O941" s="33"/>
    </row>
    <row r="942" spans="4:15">
      <c r="D942" s="33"/>
      <c r="E942" s="33"/>
      <c r="F942" s="33"/>
      <c r="G942" s="33"/>
      <c r="H942" s="33"/>
      <c r="I942" s="33"/>
      <c r="J942" s="33"/>
      <c r="K942" s="33"/>
      <c r="L942" s="33"/>
      <c r="M942" s="33"/>
      <c r="N942" s="33"/>
      <c r="O942" s="33"/>
    </row>
    <row r="943" spans="4:15">
      <c r="D943" s="33"/>
      <c r="E943" s="33"/>
      <c r="F943" s="33"/>
      <c r="G943" s="33"/>
      <c r="H943" s="33"/>
      <c r="I943" s="33"/>
      <c r="J943" s="33"/>
      <c r="K943" s="33"/>
      <c r="L943" s="33"/>
      <c r="M943" s="33"/>
      <c r="N943" s="33"/>
      <c r="O943" s="33"/>
    </row>
    <row r="944" spans="4:15">
      <c r="D944" s="33"/>
      <c r="E944" s="33"/>
      <c r="F944" s="33"/>
      <c r="G944" s="33"/>
      <c r="H944" s="33"/>
      <c r="I944" s="33"/>
      <c r="J944" s="33"/>
      <c r="K944" s="33"/>
      <c r="L944" s="33"/>
      <c r="M944" s="33"/>
      <c r="N944" s="33"/>
      <c r="O944" s="33"/>
    </row>
    <row r="945" spans="4:15">
      <c r="D945" s="33"/>
      <c r="E945" s="33"/>
      <c r="F945" s="33"/>
      <c r="G945" s="33"/>
      <c r="H945" s="33"/>
      <c r="I945" s="33"/>
      <c r="J945" s="33"/>
      <c r="K945" s="33"/>
      <c r="L945" s="33"/>
      <c r="M945" s="33"/>
      <c r="N945" s="33"/>
      <c r="O945" s="33"/>
    </row>
    <row r="946" spans="4:15">
      <c r="D946" s="33"/>
      <c r="E946" s="33"/>
      <c r="F946" s="33"/>
      <c r="G946" s="33"/>
      <c r="H946" s="33"/>
      <c r="I946" s="33"/>
      <c r="J946" s="33"/>
      <c r="K946" s="33"/>
      <c r="L946" s="33"/>
      <c r="M946" s="33"/>
      <c r="N946" s="33"/>
      <c r="O946" s="33"/>
    </row>
    <row r="947" spans="4:15">
      <c r="D947" s="33"/>
      <c r="E947" s="33"/>
      <c r="F947" s="33"/>
      <c r="G947" s="33"/>
      <c r="H947" s="33"/>
      <c r="I947" s="33"/>
      <c r="J947" s="33"/>
      <c r="K947" s="33"/>
      <c r="L947" s="33"/>
      <c r="M947" s="33"/>
      <c r="N947" s="33"/>
      <c r="O947" s="33"/>
    </row>
    <row r="948" spans="4:15">
      <c r="D948" s="33"/>
      <c r="E948" s="33"/>
      <c r="F948" s="33"/>
      <c r="G948" s="33"/>
      <c r="H948" s="33"/>
      <c r="I948" s="33"/>
      <c r="J948" s="33"/>
      <c r="K948" s="33"/>
      <c r="L948" s="33"/>
      <c r="M948" s="33"/>
      <c r="N948" s="33"/>
      <c r="O948" s="33"/>
    </row>
    <row r="949" spans="4:15">
      <c r="D949" s="33"/>
      <c r="E949" s="33"/>
      <c r="F949" s="33"/>
      <c r="G949" s="33"/>
      <c r="H949" s="33"/>
      <c r="I949" s="33"/>
      <c r="J949" s="33"/>
      <c r="K949" s="33"/>
      <c r="L949" s="33"/>
      <c r="M949" s="33"/>
      <c r="N949" s="33"/>
      <c r="O949" s="33"/>
    </row>
    <row r="950" spans="4:15">
      <c r="D950" s="33"/>
      <c r="E950" s="33"/>
      <c r="F950" s="33"/>
      <c r="G950" s="33"/>
      <c r="H950" s="33"/>
      <c r="I950" s="33"/>
      <c r="J950" s="33"/>
      <c r="K950" s="33"/>
      <c r="L950" s="33"/>
      <c r="M950" s="33"/>
      <c r="N950" s="33"/>
      <c r="O950" s="33"/>
    </row>
    <row r="951" spans="4:15">
      <c r="D951" s="33"/>
      <c r="E951" s="33"/>
      <c r="F951" s="33"/>
      <c r="G951" s="33"/>
      <c r="H951" s="33"/>
      <c r="I951" s="33"/>
      <c r="J951" s="33"/>
      <c r="K951" s="33"/>
      <c r="L951" s="33"/>
      <c r="M951" s="33"/>
      <c r="N951" s="33"/>
      <c r="O951" s="33"/>
    </row>
    <row r="952" spans="4:15">
      <c r="D952" s="33"/>
      <c r="E952" s="33"/>
      <c r="F952" s="33"/>
      <c r="G952" s="33"/>
      <c r="H952" s="33"/>
      <c r="I952" s="33"/>
      <c r="J952" s="33"/>
      <c r="K952" s="33"/>
      <c r="L952" s="33"/>
      <c r="M952" s="33"/>
      <c r="N952" s="33"/>
      <c r="O952" s="33"/>
    </row>
    <row r="953" spans="4:15">
      <c r="D953" s="33"/>
      <c r="E953" s="33"/>
      <c r="F953" s="33"/>
      <c r="G953" s="33"/>
      <c r="H953" s="33"/>
      <c r="I953" s="33"/>
      <c r="J953" s="33"/>
      <c r="K953" s="33"/>
      <c r="L953" s="33"/>
      <c r="M953" s="33"/>
      <c r="N953" s="33"/>
      <c r="O953" s="33"/>
    </row>
    <row r="954" spans="4:15">
      <c r="D954" s="33"/>
      <c r="E954" s="33"/>
      <c r="F954" s="33"/>
      <c r="G954" s="33"/>
      <c r="H954" s="33"/>
      <c r="I954" s="33"/>
      <c r="J954" s="33"/>
      <c r="K954" s="33"/>
      <c r="L954" s="33"/>
      <c r="M954" s="33"/>
      <c r="N954" s="33"/>
      <c r="O954" s="33"/>
    </row>
    <row r="955" spans="4:15">
      <c r="D955" s="33"/>
      <c r="E955" s="33"/>
      <c r="F955" s="33"/>
      <c r="G955" s="33"/>
      <c r="H955" s="33"/>
      <c r="I955" s="33"/>
      <c r="J955" s="33"/>
      <c r="K955" s="33"/>
      <c r="L955" s="33"/>
      <c r="M955" s="33"/>
      <c r="N955" s="33"/>
      <c r="O955" s="33"/>
    </row>
    <row r="956" spans="4:15">
      <c r="D956" s="33"/>
      <c r="E956" s="33"/>
      <c r="F956" s="33"/>
      <c r="G956" s="33"/>
      <c r="H956" s="33"/>
      <c r="I956" s="33"/>
      <c r="J956" s="33"/>
      <c r="K956" s="33"/>
      <c r="L956" s="33"/>
      <c r="M956" s="33"/>
      <c r="N956" s="33"/>
      <c r="O956" s="33"/>
    </row>
    <row r="957" spans="4:15">
      <c r="D957" s="33"/>
      <c r="E957" s="33"/>
      <c r="F957" s="33"/>
      <c r="G957" s="33"/>
      <c r="H957" s="33"/>
      <c r="I957" s="33"/>
      <c r="J957" s="33"/>
      <c r="K957" s="33"/>
      <c r="L957" s="33"/>
      <c r="M957" s="33"/>
      <c r="N957" s="33"/>
      <c r="O957" s="33"/>
    </row>
    <row r="958" spans="4:15">
      <c r="D958" s="33"/>
      <c r="E958" s="33"/>
      <c r="F958" s="33"/>
      <c r="G958" s="33"/>
      <c r="H958" s="33"/>
      <c r="I958" s="33"/>
      <c r="J958" s="33"/>
      <c r="K958" s="33"/>
      <c r="L958" s="33"/>
      <c r="M958" s="33"/>
      <c r="N958" s="33"/>
      <c r="O958" s="33"/>
    </row>
    <row r="959" spans="4:15">
      <c r="D959" s="33"/>
      <c r="E959" s="33"/>
      <c r="F959" s="33"/>
      <c r="G959" s="33"/>
      <c r="H959" s="33"/>
      <c r="I959" s="33"/>
      <c r="J959" s="33"/>
      <c r="K959" s="33"/>
      <c r="L959" s="33"/>
      <c r="M959" s="33"/>
      <c r="N959" s="33"/>
      <c r="O959" s="33"/>
    </row>
    <row r="960" spans="4:15">
      <c r="D960" s="33"/>
      <c r="E960" s="33"/>
      <c r="F960" s="33"/>
      <c r="G960" s="33"/>
      <c r="H960" s="33"/>
      <c r="I960" s="33"/>
      <c r="J960" s="33"/>
      <c r="K960" s="33"/>
      <c r="L960" s="33"/>
      <c r="M960" s="33"/>
      <c r="N960" s="33"/>
      <c r="O960" s="33"/>
    </row>
    <row r="961" spans="4:15">
      <c r="D961" s="33"/>
      <c r="E961" s="33"/>
      <c r="F961" s="33"/>
      <c r="G961" s="33"/>
      <c r="H961" s="33"/>
      <c r="I961" s="33"/>
      <c r="J961" s="33"/>
      <c r="K961" s="33"/>
      <c r="L961" s="33"/>
      <c r="M961" s="33"/>
      <c r="N961" s="33"/>
      <c r="O961" s="33"/>
    </row>
    <row r="962" spans="4:15">
      <c r="D962" s="33"/>
      <c r="E962" s="33"/>
      <c r="F962" s="33"/>
      <c r="G962" s="33"/>
      <c r="H962" s="33"/>
      <c r="I962" s="33"/>
      <c r="J962" s="33"/>
      <c r="K962" s="33"/>
      <c r="L962" s="33"/>
      <c r="M962" s="33"/>
      <c r="N962" s="33"/>
      <c r="O962" s="33"/>
    </row>
    <row r="963" spans="4:15">
      <c r="D963" s="33"/>
      <c r="E963" s="33"/>
      <c r="F963" s="33"/>
      <c r="G963" s="33"/>
      <c r="H963" s="33"/>
      <c r="I963" s="33"/>
      <c r="J963" s="33"/>
      <c r="K963" s="33"/>
      <c r="L963" s="33"/>
      <c r="M963" s="33"/>
      <c r="N963" s="33"/>
      <c r="O963" s="33"/>
    </row>
    <row r="964" spans="4:15">
      <c r="D964" s="33"/>
      <c r="E964" s="33"/>
      <c r="F964" s="33"/>
      <c r="G964" s="33"/>
      <c r="H964" s="33"/>
      <c r="I964" s="33"/>
      <c r="J964" s="33"/>
      <c r="K964" s="33"/>
      <c r="L964" s="33"/>
      <c r="M964" s="33"/>
      <c r="N964" s="33"/>
      <c r="O964" s="33"/>
    </row>
    <row r="965" spans="4:15">
      <c r="D965" s="33"/>
      <c r="E965" s="33"/>
      <c r="F965" s="33"/>
      <c r="G965" s="33"/>
      <c r="H965" s="33"/>
      <c r="I965" s="33"/>
      <c r="J965" s="33"/>
      <c r="K965" s="33"/>
      <c r="L965" s="33"/>
      <c r="M965" s="33"/>
      <c r="N965" s="33"/>
      <c r="O965" s="33"/>
    </row>
    <row r="966" spans="4:15">
      <c r="D966" s="33"/>
      <c r="E966" s="33"/>
      <c r="F966" s="33"/>
      <c r="G966" s="33"/>
      <c r="H966" s="33"/>
      <c r="I966" s="33"/>
      <c r="J966" s="33"/>
      <c r="K966" s="33"/>
      <c r="L966" s="33"/>
      <c r="M966" s="33"/>
      <c r="N966" s="33"/>
      <c r="O966" s="33"/>
    </row>
    <row r="967" spans="4:15">
      <c r="D967" s="33"/>
      <c r="E967" s="33"/>
      <c r="F967" s="33"/>
      <c r="G967" s="33"/>
      <c r="H967" s="33"/>
      <c r="I967" s="33"/>
      <c r="J967" s="33"/>
      <c r="K967" s="33"/>
      <c r="L967" s="33"/>
      <c r="M967" s="33"/>
      <c r="N967" s="33"/>
      <c r="O967" s="33"/>
    </row>
    <row r="968" spans="4:15">
      <c r="D968" s="33"/>
      <c r="E968" s="33"/>
      <c r="F968" s="33"/>
      <c r="G968" s="33"/>
      <c r="H968" s="33"/>
      <c r="I968" s="33"/>
      <c r="J968" s="33"/>
      <c r="K968" s="33"/>
      <c r="L968" s="33"/>
      <c r="M968" s="33"/>
      <c r="N968" s="33"/>
      <c r="O968" s="33"/>
    </row>
    <row r="969" spans="4:15">
      <c r="D969" s="33"/>
      <c r="E969" s="33"/>
      <c r="F969" s="33"/>
      <c r="G969" s="33"/>
      <c r="H969" s="33"/>
      <c r="I969" s="33"/>
      <c r="J969" s="33"/>
      <c r="K969" s="33"/>
      <c r="L969" s="33"/>
      <c r="M969" s="33"/>
      <c r="N969" s="33"/>
      <c r="O969" s="33"/>
    </row>
    <row r="970" spans="4:15">
      <c r="D970" s="33"/>
      <c r="E970" s="33"/>
      <c r="F970" s="33"/>
      <c r="G970" s="33"/>
      <c r="H970" s="33"/>
      <c r="I970" s="33"/>
      <c r="J970" s="33"/>
      <c r="K970" s="33"/>
      <c r="L970" s="33"/>
      <c r="M970" s="33"/>
      <c r="N970" s="33"/>
      <c r="O970" s="33"/>
    </row>
    <row r="971" spans="4:15">
      <c r="D971" s="33"/>
      <c r="E971" s="33"/>
      <c r="F971" s="33"/>
      <c r="G971" s="33"/>
      <c r="H971" s="33"/>
      <c r="I971" s="33"/>
      <c r="J971" s="33"/>
      <c r="K971" s="33"/>
      <c r="L971" s="33"/>
      <c r="M971" s="33"/>
      <c r="N971" s="33"/>
      <c r="O971" s="33"/>
    </row>
    <row r="972" spans="4:15">
      <c r="D972" s="33"/>
      <c r="E972" s="33"/>
      <c r="F972" s="33"/>
      <c r="G972" s="33"/>
      <c r="H972" s="33"/>
      <c r="I972" s="33"/>
      <c r="J972" s="33"/>
      <c r="K972" s="33"/>
      <c r="L972" s="33"/>
      <c r="M972" s="33"/>
      <c r="N972" s="33"/>
      <c r="O972" s="33"/>
    </row>
    <row r="973" spans="4:15">
      <c r="D973" s="33"/>
      <c r="E973" s="33"/>
      <c r="F973" s="33"/>
      <c r="G973" s="33"/>
      <c r="H973" s="33"/>
      <c r="I973" s="33"/>
      <c r="J973" s="33"/>
      <c r="K973" s="33"/>
      <c r="L973" s="33"/>
      <c r="M973" s="33"/>
      <c r="N973" s="33"/>
      <c r="O973" s="33"/>
    </row>
    <row r="974" spans="4:15">
      <c r="D974" s="33"/>
      <c r="E974" s="33"/>
      <c r="F974" s="33"/>
      <c r="G974" s="33"/>
      <c r="H974" s="33"/>
      <c r="I974" s="33"/>
      <c r="J974" s="33"/>
      <c r="K974" s="33"/>
      <c r="L974" s="33"/>
      <c r="M974" s="33"/>
      <c r="N974" s="33"/>
      <c r="O974" s="33"/>
    </row>
    <row r="975" spans="4:15">
      <c r="D975" s="33"/>
      <c r="E975" s="33"/>
      <c r="F975" s="33"/>
      <c r="G975" s="33"/>
      <c r="H975" s="33"/>
      <c r="I975" s="33"/>
      <c r="J975" s="33"/>
      <c r="K975" s="33"/>
      <c r="L975" s="33"/>
      <c r="M975" s="33"/>
      <c r="N975" s="33"/>
      <c r="O975" s="33"/>
    </row>
    <row r="976" spans="4:15">
      <c r="D976" s="33"/>
      <c r="E976" s="33"/>
      <c r="F976" s="33"/>
      <c r="G976" s="33"/>
      <c r="H976" s="33"/>
      <c r="I976" s="33"/>
      <c r="J976" s="33"/>
      <c r="K976" s="33"/>
      <c r="L976" s="33"/>
      <c r="M976" s="33"/>
      <c r="N976" s="33"/>
      <c r="O976" s="33"/>
    </row>
    <row r="977" spans="4:15">
      <c r="D977" s="33"/>
      <c r="E977" s="33"/>
      <c r="F977" s="33"/>
      <c r="G977" s="33"/>
      <c r="H977" s="33"/>
      <c r="I977" s="33"/>
      <c r="J977" s="33"/>
      <c r="K977" s="33"/>
      <c r="L977" s="33"/>
      <c r="M977" s="33"/>
      <c r="N977" s="33"/>
      <c r="O977" s="33"/>
    </row>
    <row r="978" spans="4:15">
      <c r="D978" s="33"/>
      <c r="E978" s="33"/>
      <c r="F978" s="33"/>
      <c r="G978" s="33"/>
      <c r="H978" s="33"/>
      <c r="I978" s="33"/>
      <c r="J978" s="33"/>
      <c r="K978" s="33"/>
      <c r="L978" s="33"/>
      <c r="M978" s="33"/>
      <c r="N978" s="33"/>
      <c r="O978" s="33"/>
    </row>
    <row r="979" spans="4:15">
      <c r="D979" s="33"/>
      <c r="E979" s="33"/>
      <c r="F979" s="33"/>
      <c r="G979" s="33"/>
      <c r="H979" s="33"/>
      <c r="I979" s="33"/>
      <c r="J979" s="33"/>
      <c r="K979" s="33"/>
      <c r="L979" s="33"/>
      <c r="M979" s="33"/>
      <c r="N979" s="33"/>
      <c r="O979" s="33"/>
    </row>
    <row r="980" spans="4:15">
      <c r="D980" s="33"/>
      <c r="E980" s="33"/>
      <c r="F980" s="33"/>
      <c r="G980" s="33"/>
      <c r="H980" s="33"/>
      <c r="I980" s="33"/>
      <c r="J980" s="33"/>
      <c r="K980" s="33"/>
      <c r="L980" s="33"/>
      <c r="M980" s="33"/>
      <c r="N980" s="33"/>
      <c r="O980" s="33"/>
    </row>
    <row r="981" spans="4:15">
      <c r="D981" s="33"/>
      <c r="E981" s="33"/>
      <c r="F981" s="33"/>
      <c r="G981" s="33"/>
      <c r="H981" s="33"/>
      <c r="I981" s="33"/>
      <c r="J981" s="33"/>
      <c r="K981" s="33"/>
      <c r="L981" s="33"/>
      <c r="M981" s="33"/>
      <c r="N981" s="33"/>
      <c r="O981" s="33"/>
    </row>
    <row r="982" spans="4:15">
      <c r="D982" s="33"/>
      <c r="E982" s="33"/>
      <c r="F982" s="33"/>
      <c r="G982" s="33"/>
      <c r="H982" s="33"/>
      <c r="I982" s="33"/>
      <c r="J982" s="33"/>
      <c r="K982" s="33"/>
      <c r="L982" s="33"/>
      <c r="M982" s="33"/>
      <c r="N982" s="33"/>
      <c r="O982" s="33"/>
    </row>
    <row r="983" spans="4:15">
      <c r="D983" s="33"/>
      <c r="E983" s="33"/>
      <c r="F983" s="33"/>
      <c r="G983" s="33"/>
      <c r="H983" s="33"/>
      <c r="I983" s="33"/>
      <c r="J983" s="33"/>
      <c r="K983" s="33"/>
      <c r="L983" s="33"/>
      <c r="M983" s="33"/>
      <c r="N983" s="33"/>
      <c r="O983" s="33"/>
    </row>
    <row r="984" spans="4:15">
      <c r="D984" s="33"/>
      <c r="E984" s="33"/>
      <c r="F984" s="33"/>
      <c r="G984" s="33"/>
      <c r="H984" s="33"/>
      <c r="I984" s="33"/>
      <c r="J984" s="33"/>
      <c r="K984" s="33"/>
      <c r="L984" s="33"/>
      <c r="M984" s="33"/>
      <c r="N984" s="33"/>
      <c r="O984" s="33"/>
    </row>
    <row r="985" spans="4:15">
      <c r="D985" s="33"/>
      <c r="E985" s="33"/>
      <c r="F985" s="33"/>
      <c r="G985" s="33"/>
      <c r="H985" s="33"/>
      <c r="I985" s="33"/>
      <c r="J985" s="33"/>
      <c r="K985" s="33"/>
      <c r="L985" s="33"/>
      <c r="M985" s="33"/>
      <c r="N985" s="33"/>
      <c r="O985" s="33"/>
    </row>
    <row r="986" spans="4:15">
      <c r="D986" s="33"/>
      <c r="E986" s="33"/>
      <c r="F986" s="33"/>
      <c r="G986" s="33"/>
      <c r="H986" s="33"/>
      <c r="I986" s="33"/>
      <c r="J986" s="33"/>
      <c r="K986" s="33"/>
      <c r="L986" s="33"/>
      <c r="M986" s="33"/>
      <c r="N986" s="33"/>
      <c r="O986" s="33"/>
    </row>
    <row r="987" spans="4:15">
      <c r="D987" s="33"/>
      <c r="E987" s="33"/>
      <c r="F987" s="33"/>
      <c r="G987" s="33"/>
      <c r="H987" s="33"/>
      <c r="I987" s="33"/>
      <c r="J987" s="33"/>
      <c r="K987" s="33"/>
      <c r="L987" s="33"/>
      <c r="M987" s="33"/>
      <c r="N987" s="33"/>
      <c r="O987" s="33"/>
    </row>
    <row r="988" spans="4:15">
      <c r="D988" s="33"/>
      <c r="E988" s="33"/>
      <c r="F988" s="33"/>
      <c r="G988" s="33"/>
      <c r="H988" s="33"/>
      <c r="I988" s="33"/>
      <c r="J988" s="33"/>
      <c r="K988" s="33"/>
      <c r="L988" s="33"/>
      <c r="M988" s="33"/>
      <c r="N988" s="33"/>
      <c r="O988" s="33"/>
    </row>
    <row r="989" spans="4:15">
      <c r="D989" s="33"/>
      <c r="E989" s="33"/>
      <c r="F989" s="33"/>
      <c r="G989" s="33"/>
      <c r="H989" s="33"/>
      <c r="I989" s="33"/>
      <c r="J989" s="33"/>
      <c r="K989" s="33"/>
      <c r="L989" s="33"/>
      <c r="M989" s="33"/>
      <c r="N989" s="33"/>
      <c r="O989" s="33"/>
    </row>
    <row r="990" spans="4:15">
      <c r="D990" s="33"/>
      <c r="E990" s="33"/>
      <c r="F990" s="33"/>
      <c r="G990" s="33"/>
      <c r="H990" s="33"/>
      <c r="I990" s="33"/>
      <c r="J990" s="33"/>
      <c r="K990" s="33"/>
      <c r="L990" s="33"/>
      <c r="M990" s="33"/>
      <c r="N990" s="33"/>
      <c r="O990" s="33"/>
    </row>
    <row r="991" spans="4:15">
      <c r="D991" s="33"/>
      <c r="E991" s="33"/>
      <c r="F991" s="33"/>
      <c r="G991" s="33"/>
      <c r="H991" s="33"/>
      <c r="I991" s="33"/>
      <c r="J991" s="33"/>
      <c r="K991" s="33"/>
      <c r="L991" s="33"/>
      <c r="M991" s="33"/>
      <c r="N991" s="33"/>
      <c r="O991" s="33"/>
    </row>
    <row r="992" spans="4:15">
      <c r="D992" s="33"/>
      <c r="E992" s="33"/>
      <c r="F992" s="33"/>
      <c r="G992" s="33"/>
      <c r="H992" s="33"/>
      <c r="I992" s="33"/>
      <c r="J992" s="33"/>
      <c r="K992" s="33"/>
      <c r="L992" s="33"/>
      <c r="M992" s="33"/>
      <c r="N992" s="33"/>
      <c r="O992" s="33"/>
    </row>
    <row r="993" spans="4:15">
      <c r="D993" s="33"/>
      <c r="E993" s="33"/>
      <c r="F993" s="33"/>
      <c r="G993" s="33"/>
      <c r="H993" s="33"/>
      <c r="I993" s="33"/>
      <c r="J993" s="33"/>
      <c r="K993" s="33"/>
      <c r="L993" s="33"/>
      <c r="M993" s="33"/>
      <c r="N993" s="33"/>
      <c r="O993" s="33"/>
    </row>
    <row r="994" spans="4:15">
      <c r="D994" s="33"/>
      <c r="E994" s="33"/>
      <c r="F994" s="33"/>
      <c r="G994" s="33"/>
      <c r="H994" s="33"/>
      <c r="I994" s="33"/>
      <c r="J994" s="33"/>
      <c r="K994" s="33"/>
      <c r="L994" s="33"/>
      <c r="M994" s="33"/>
      <c r="N994" s="33"/>
      <c r="O994" s="33"/>
    </row>
    <row r="995" spans="4:15">
      <c r="D995" s="33"/>
      <c r="E995" s="33"/>
      <c r="F995" s="33"/>
      <c r="G995" s="33"/>
      <c r="H995" s="33"/>
      <c r="I995" s="33"/>
      <c r="J995" s="33"/>
      <c r="K995" s="33"/>
      <c r="L995" s="33"/>
      <c r="M995" s="33"/>
      <c r="N995" s="33"/>
      <c r="O995" s="33"/>
    </row>
    <row r="996" spans="4:15">
      <c r="D996" s="33"/>
      <c r="E996" s="33"/>
      <c r="F996" s="33"/>
      <c r="G996" s="33"/>
      <c r="H996" s="33"/>
      <c r="I996" s="33"/>
      <c r="J996" s="33"/>
      <c r="K996" s="33"/>
      <c r="L996" s="33"/>
      <c r="M996" s="33"/>
      <c r="N996" s="33"/>
      <c r="O996" s="33"/>
    </row>
    <row r="997" spans="4:15">
      <c r="D997" s="33"/>
      <c r="E997" s="33"/>
      <c r="F997" s="33"/>
      <c r="G997" s="33"/>
      <c r="H997" s="33"/>
      <c r="I997" s="33"/>
      <c r="J997" s="33"/>
      <c r="K997" s="33"/>
      <c r="L997" s="33"/>
      <c r="M997" s="33"/>
      <c r="N997" s="33"/>
      <c r="O997" s="33"/>
    </row>
    <row r="998" spans="4:15">
      <c r="D998" s="33"/>
      <c r="E998" s="33"/>
      <c r="F998" s="33"/>
      <c r="G998" s="33"/>
      <c r="H998" s="33"/>
      <c r="I998" s="33"/>
      <c r="J998" s="33"/>
      <c r="K998" s="33"/>
      <c r="L998" s="33"/>
      <c r="M998" s="33"/>
      <c r="N998" s="33"/>
      <c r="O998" s="33"/>
    </row>
    <row r="999" spans="4:15">
      <c r="D999" s="33"/>
      <c r="E999" s="33"/>
      <c r="F999" s="33"/>
      <c r="G999" s="33"/>
      <c r="H999" s="33"/>
      <c r="I999" s="33"/>
      <c r="J999" s="33"/>
      <c r="K999" s="33"/>
      <c r="L999" s="33"/>
      <c r="M999" s="33"/>
      <c r="N999" s="33"/>
      <c r="O999" s="33"/>
    </row>
    <row r="1000" spans="4:15">
      <c r="D1000" s="33"/>
      <c r="E1000" s="33"/>
      <c r="F1000" s="33"/>
      <c r="G1000" s="33"/>
      <c r="H1000" s="33"/>
      <c r="I1000" s="33"/>
      <c r="J1000" s="33"/>
      <c r="K1000" s="33"/>
      <c r="L1000" s="33"/>
      <c r="M1000" s="33"/>
      <c r="N1000" s="33"/>
      <c r="O1000" s="33"/>
    </row>
    <row r="1001" spans="4:15">
      <c r="D1001" s="33"/>
      <c r="E1001" s="33"/>
      <c r="F1001" s="33"/>
      <c r="G1001" s="33"/>
      <c r="H1001" s="33"/>
      <c r="I1001" s="33"/>
      <c r="J1001" s="33"/>
      <c r="K1001" s="33"/>
      <c r="L1001" s="33"/>
      <c r="M1001" s="33"/>
      <c r="N1001" s="33"/>
      <c r="O1001" s="33"/>
    </row>
    <row r="1002" spans="4:15">
      <c r="D1002" s="33"/>
      <c r="E1002" s="33"/>
      <c r="F1002" s="33"/>
      <c r="G1002" s="33"/>
      <c r="H1002" s="33"/>
      <c r="I1002" s="33"/>
      <c r="J1002" s="33"/>
      <c r="K1002" s="33"/>
      <c r="L1002" s="33"/>
      <c r="M1002" s="33"/>
      <c r="N1002" s="33"/>
      <c r="O1002" s="33"/>
    </row>
    <row r="1003" spans="4:15">
      <c r="D1003" s="33"/>
      <c r="E1003" s="33"/>
      <c r="F1003" s="33"/>
      <c r="G1003" s="33"/>
      <c r="H1003" s="33"/>
      <c r="I1003" s="33"/>
      <c r="J1003" s="33"/>
      <c r="K1003" s="33"/>
      <c r="L1003" s="33"/>
      <c r="M1003" s="33"/>
      <c r="N1003" s="33"/>
      <c r="O1003" s="33"/>
    </row>
    <row r="1004" spans="4:15">
      <c r="D1004" s="33"/>
      <c r="E1004" s="33"/>
      <c r="F1004" s="33"/>
      <c r="G1004" s="33"/>
      <c r="H1004" s="33"/>
      <c r="I1004" s="33"/>
      <c r="J1004" s="33"/>
      <c r="K1004" s="33"/>
      <c r="L1004" s="33"/>
      <c r="M1004" s="33"/>
      <c r="N1004" s="33"/>
      <c r="O1004" s="33"/>
    </row>
    <row r="1005" spans="4:15">
      <c r="D1005" s="33"/>
      <c r="E1005" s="33"/>
      <c r="F1005" s="33"/>
      <c r="G1005" s="33"/>
      <c r="H1005" s="33"/>
      <c r="I1005" s="33"/>
      <c r="J1005" s="33"/>
      <c r="K1005" s="33"/>
      <c r="L1005" s="33"/>
      <c r="M1005" s="33"/>
      <c r="N1005" s="33"/>
      <c r="O1005" s="33"/>
    </row>
    <row r="1006" spans="4:15">
      <c r="D1006" s="33"/>
      <c r="E1006" s="33"/>
      <c r="F1006" s="33"/>
      <c r="G1006" s="33"/>
      <c r="H1006" s="33"/>
      <c r="I1006" s="33"/>
      <c r="J1006" s="33"/>
      <c r="K1006" s="33"/>
      <c r="L1006" s="33"/>
      <c r="M1006" s="33"/>
      <c r="N1006" s="33"/>
      <c r="O1006" s="33"/>
    </row>
    <row r="1007" spans="4:15">
      <c r="D1007" s="33"/>
      <c r="E1007" s="33"/>
      <c r="F1007" s="33"/>
      <c r="G1007" s="33"/>
      <c r="H1007" s="33"/>
      <c r="I1007" s="33"/>
      <c r="J1007" s="33"/>
      <c r="K1007" s="33"/>
      <c r="L1007" s="33"/>
      <c r="M1007" s="33"/>
      <c r="N1007" s="33"/>
      <c r="O1007" s="33"/>
    </row>
    <row r="1008" spans="4:15">
      <c r="D1008" s="33"/>
      <c r="E1008" s="33"/>
      <c r="F1008" s="33"/>
      <c r="G1008" s="33"/>
      <c r="H1008" s="33"/>
      <c r="I1008" s="33"/>
      <c r="J1008" s="33"/>
      <c r="K1008" s="33"/>
      <c r="L1008" s="33"/>
      <c r="M1008" s="33"/>
      <c r="N1008" s="33"/>
      <c r="O1008" s="33"/>
    </row>
    <row r="1009" spans="4:15">
      <c r="D1009" s="33"/>
      <c r="E1009" s="33"/>
      <c r="F1009" s="33"/>
      <c r="G1009" s="33"/>
      <c r="H1009" s="33"/>
      <c r="I1009" s="33"/>
      <c r="J1009" s="33"/>
      <c r="K1009" s="33"/>
      <c r="L1009" s="33"/>
      <c r="M1009" s="33"/>
      <c r="N1009" s="33"/>
      <c r="O1009" s="33"/>
    </row>
    <row r="1010" spans="4:15">
      <c r="D1010" s="33"/>
      <c r="E1010" s="33"/>
      <c r="F1010" s="33"/>
      <c r="G1010" s="33"/>
      <c r="H1010" s="33"/>
      <c r="I1010" s="33"/>
      <c r="J1010" s="33"/>
      <c r="K1010" s="33"/>
      <c r="L1010" s="33"/>
      <c r="M1010" s="33"/>
      <c r="N1010" s="33"/>
      <c r="O1010" s="33"/>
    </row>
    <row r="1011" spans="4:15">
      <c r="D1011" s="33"/>
      <c r="E1011" s="33"/>
      <c r="F1011" s="33"/>
      <c r="G1011" s="33"/>
      <c r="H1011" s="33"/>
      <c r="I1011" s="33"/>
      <c r="J1011" s="33"/>
      <c r="K1011" s="33"/>
      <c r="L1011" s="33"/>
      <c r="M1011" s="33"/>
      <c r="N1011" s="33"/>
      <c r="O1011" s="33"/>
    </row>
    <row r="1012" spans="4:15">
      <c r="D1012" s="33"/>
      <c r="E1012" s="33"/>
      <c r="F1012" s="33"/>
      <c r="G1012" s="33"/>
      <c r="H1012" s="33"/>
      <c r="I1012" s="33"/>
      <c r="J1012" s="33"/>
      <c r="K1012" s="33"/>
      <c r="L1012" s="33"/>
      <c r="M1012" s="33"/>
      <c r="N1012" s="33"/>
      <c r="O1012" s="33"/>
    </row>
    <row r="1013" spans="4:15">
      <c r="D1013" s="33"/>
      <c r="E1013" s="33"/>
      <c r="F1013" s="33"/>
      <c r="G1013" s="33"/>
      <c r="H1013" s="33"/>
      <c r="I1013" s="33"/>
      <c r="J1013" s="33"/>
      <c r="K1013" s="33"/>
      <c r="L1013" s="33"/>
      <c r="M1013" s="33"/>
      <c r="N1013" s="33"/>
      <c r="O1013" s="33"/>
    </row>
    <row r="1014" spans="4:15">
      <c r="D1014" s="33"/>
      <c r="E1014" s="33"/>
      <c r="F1014" s="33"/>
      <c r="G1014" s="33"/>
      <c r="H1014" s="33"/>
      <c r="I1014" s="33"/>
      <c r="J1014" s="33"/>
      <c r="K1014" s="33"/>
      <c r="L1014" s="33"/>
      <c r="M1014" s="33"/>
      <c r="N1014" s="33"/>
      <c r="O1014" s="33"/>
    </row>
    <row r="1015" spans="4:15">
      <c r="D1015" s="33"/>
      <c r="E1015" s="33"/>
      <c r="F1015" s="33"/>
      <c r="G1015" s="33"/>
      <c r="H1015" s="33"/>
      <c r="I1015" s="33"/>
      <c r="J1015" s="33"/>
      <c r="K1015" s="33"/>
      <c r="L1015" s="33"/>
      <c r="M1015" s="33"/>
      <c r="N1015" s="33"/>
      <c r="O1015" s="33"/>
    </row>
    <row r="1016" spans="4:15">
      <c r="D1016" s="33"/>
      <c r="E1016" s="33"/>
      <c r="F1016" s="33"/>
      <c r="G1016" s="33"/>
      <c r="H1016" s="33"/>
      <c r="I1016" s="33"/>
      <c r="J1016" s="33"/>
      <c r="K1016" s="33"/>
      <c r="L1016" s="33"/>
      <c r="M1016" s="33"/>
      <c r="N1016" s="33"/>
      <c r="O1016" s="33"/>
    </row>
    <row r="1017" spans="4:15">
      <c r="D1017" s="33"/>
      <c r="E1017" s="33"/>
      <c r="F1017" s="33"/>
      <c r="G1017" s="33"/>
      <c r="H1017" s="33"/>
      <c r="I1017" s="33"/>
      <c r="J1017" s="33"/>
      <c r="K1017" s="33"/>
      <c r="L1017" s="33"/>
      <c r="M1017" s="33"/>
      <c r="N1017" s="33"/>
      <c r="O1017" s="33"/>
    </row>
    <row r="1018" spans="4:15">
      <c r="D1018" s="33"/>
      <c r="E1018" s="33"/>
      <c r="F1018" s="33"/>
      <c r="G1018" s="33"/>
      <c r="H1018" s="33"/>
      <c r="I1018" s="33"/>
      <c r="J1018" s="33"/>
      <c r="K1018" s="33"/>
      <c r="L1018" s="33"/>
      <c r="M1018" s="33"/>
      <c r="N1018" s="33"/>
      <c r="O1018" s="33"/>
    </row>
    <row r="1019" spans="4:15">
      <c r="D1019" s="33"/>
      <c r="E1019" s="33"/>
      <c r="F1019" s="33"/>
      <c r="G1019" s="33"/>
      <c r="H1019" s="33"/>
      <c r="I1019" s="33"/>
      <c r="J1019" s="33"/>
      <c r="K1019" s="33"/>
      <c r="L1019" s="33"/>
      <c r="M1019" s="33"/>
      <c r="N1019" s="33"/>
      <c r="O1019" s="33"/>
    </row>
    <row r="1020" spans="4:15">
      <c r="D1020" s="33"/>
      <c r="E1020" s="33"/>
      <c r="F1020" s="33"/>
      <c r="G1020" s="33"/>
      <c r="H1020" s="33"/>
      <c r="I1020" s="33"/>
      <c r="J1020" s="33"/>
      <c r="K1020" s="33"/>
      <c r="L1020" s="33"/>
      <c r="M1020" s="33"/>
      <c r="N1020" s="33"/>
      <c r="O1020" s="33"/>
    </row>
    <row r="1021" spans="4:15">
      <c r="D1021" s="33"/>
      <c r="E1021" s="33"/>
      <c r="F1021" s="33"/>
      <c r="G1021" s="33"/>
      <c r="H1021" s="33"/>
      <c r="I1021" s="33"/>
      <c r="J1021" s="33"/>
      <c r="K1021" s="33"/>
      <c r="L1021" s="33"/>
      <c r="M1021" s="33"/>
      <c r="N1021" s="33"/>
      <c r="O1021" s="33"/>
    </row>
    <row r="1022" spans="4:15">
      <c r="D1022" s="33"/>
      <c r="E1022" s="33"/>
      <c r="F1022" s="33"/>
      <c r="G1022" s="33"/>
      <c r="H1022" s="33"/>
      <c r="I1022" s="33"/>
      <c r="J1022" s="33"/>
      <c r="K1022" s="33"/>
      <c r="L1022" s="33"/>
      <c r="M1022" s="33"/>
      <c r="N1022" s="33"/>
      <c r="O1022" s="33"/>
    </row>
    <row r="1023" spans="4:15">
      <c r="D1023" s="33"/>
      <c r="E1023" s="33"/>
      <c r="F1023" s="33"/>
      <c r="G1023" s="33"/>
      <c r="H1023" s="33"/>
      <c r="I1023" s="33"/>
      <c r="J1023" s="33"/>
      <c r="K1023" s="33"/>
      <c r="L1023" s="33"/>
      <c r="M1023" s="33"/>
      <c r="N1023" s="33"/>
      <c r="O1023" s="33"/>
    </row>
    <row r="1024" spans="4:15">
      <c r="D1024" s="33"/>
      <c r="E1024" s="33"/>
      <c r="F1024" s="33"/>
      <c r="G1024" s="33"/>
      <c r="H1024" s="33"/>
      <c r="I1024" s="33"/>
      <c r="J1024" s="33"/>
      <c r="K1024" s="33"/>
      <c r="L1024" s="33"/>
      <c r="M1024" s="33"/>
      <c r="N1024" s="33"/>
      <c r="O1024" s="33"/>
    </row>
    <row r="1025" spans="4:15">
      <c r="D1025" s="33"/>
      <c r="E1025" s="33"/>
      <c r="F1025" s="33"/>
      <c r="G1025" s="33"/>
      <c r="H1025" s="33"/>
      <c r="I1025" s="33"/>
      <c r="J1025" s="33"/>
      <c r="K1025" s="33"/>
      <c r="L1025" s="33"/>
      <c r="M1025" s="33"/>
      <c r="N1025" s="33"/>
      <c r="O1025" s="33"/>
    </row>
    <row r="1026" spans="4:15">
      <c r="D1026" s="33"/>
      <c r="E1026" s="33"/>
      <c r="F1026" s="33"/>
      <c r="G1026" s="33"/>
      <c r="H1026" s="33"/>
      <c r="I1026" s="33"/>
      <c r="J1026" s="33"/>
      <c r="K1026" s="33"/>
      <c r="L1026" s="33"/>
      <c r="M1026" s="33"/>
      <c r="N1026" s="33"/>
      <c r="O1026" s="33"/>
    </row>
    <row r="1027" spans="4:15">
      <c r="D1027" s="33"/>
      <c r="E1027" s="33"/>
      <c r="F1027" s="33"/>
      <c r="G1027" s="33"/>
      <c r="H1027" s="33"/>
      <c r="I1027" s="33"/>
      <c r="J1027" s="33"/>
      <c r="K1027" s="33"/>
      <c r="L1027" s="33"/>
      <c r="M1027" s="33"/>
      <c r="N1027" s="33"/>
      <c r="O1027" s="33"/>
    </row>
    <row r="1028" spans="4:15">
      <c r="D1028" s="33"/>
      <c r="E1028" s="33"/>
      <c r="F1028" s="33"/>
      <c r="G1028" s="33"/>
      <c r="H1028" s="33"/>
      <c r="I1028" s="33"/>
      <c r="J1028" s="33"/>
      <c r="K1028" s="33"/>
      <c r="L1028" s="33"/>
      <c r="M1028" s="33"/>
      <c r="N1028" s="33"/>
      <c r="O1028" s="33"/>
    </row>
    <row r="1029" spans="4:15">
      <c r="D1029" s="33"/>
      <c r="E1029" s="33"/>
      <c r="F1029" s="33"/>
      <c r="G1029" s="33"/>
      <c r="H1029" s="33"/>
      <c r="I1029" s="33"/>
      <c r="J1029" s="33"/>
      <c r="K1029" s="33"/>
      <c r="L1029" s="33"/>
      <c r="M1029" s="33"/>
      <c r="N1029" s="33"/>
      <c r="O1029" s="33"/>
    </row>
    <row r="1030" spans="4:15">
      <c r="D1030" s="33"/>
      <c r="E1030" s="33"/>
      <c r="F1030" s="33"/>
      <c r="G1030" s="33"/>
      <c r="H1030" s="33"/>
      <c r="I1030" s="33"/>
      <c r="J1030" s="33"/>
      <c r="K1030" s="33"/>
      <c r="L1030" s="33"/>
      <c r="M1030" s="33"/>
      <c r="N1030" s="33"/>
      <c r="O1030" s="33"/>
    </row>
    <row r="1031" spans="4:15">
      <c r="D1031" s="33"/>
      <c r="E1031" s="33"/>
      <c r="F1031" s="33"/>
      <c r="G1031" s="33"/>
      <c r="H1031" s="33"/>
      <c r="I1031" s="33"/>
      <c r="J1031" s="33"/>
      <c r="K1031" s="33"/>
      <c r="L1031" s="33"/>
      <c r="M1031" s="33"/>
      <c r="N1031" s="33"/>
      <c r="O1031" s="33"/>
    </row>
    <row r="1032" spans="4:15">
      <c r="D1032" s="33"/>
      <c r="E1032" s="33"/>
      <c r="F1032" s="33"/>
      <c r="G1032" s="33"/>
      <c r="H1032" s="33"/>
      <c r="I1032" s="33"/>
      <c r="J1032" s="33"/>
      <c r="K1032" s="33"/>
      <c r="L1032" s="33"/>
      <c r="M1032" s="33"/>
      <c r="N1032" s="33"/>
      <c r="O1032" s="33"/>
    </row>
    <row r="1033" spans="4:15">
      <c r="D1033" s="33"/>
      <c r="E1033" s="33"/>
      <c r="F1033" s="33"/>
      <c r="G1033" s="33"/>
      <c r="H1033" s="33"/>
      <c r="I1033" s="33"/>
      <c r="J1033" s="33"/>
      <c r="K1033" s="33"/>
      <c r="L1033" s="33"/>
      <c r="M1033" s="33"/>
      <c r="N1033" s="33"/>
      <c r="O1033" s="33"/>
    </row>
    <row r="1034" spans="4:15">
      <c r="D1034" s="33"/>
      <c r="E1034" s="33"/>
      <c r="F1034" s="33"/>
      <c r="G1034" s="33"/>
      <c r="H1034" s="33"/>
      <c r="I1034" s="33"/>
      <c r="J1034" s="33"/>
      <c r="K1034" s="33"/>
      <c r="L1034" s="33"/>
      <c r="M1034" s="33"/>
      <c r="N1034" s="33"/>
      <c r="O1034" s="33"/>
    </row>
    <row r="1035" spans="4:15">
      <c r="D1035" s="33"/>
      <c r="E1035" s="33"/>
      <c r="F1035" s="33"/>
      <c r="G1035" s="33"/>
      <c r="H1035" s="33"/>
      <c r="I1035" s="33"/>
      <c r="J1035" s="33"/>
      <c r="K1035" s="33"/>
      <c r="L1035" s="33"/>
      <c r="M1035" s="33"/>
      <c r="N1035" s="33"/>
      <c r="O1035" s="33"/>
    </row>
    <row r="1036" spans="4:15">
      <c r="D1036" s="33"/>
      <c r="E1036" s="33"/>
      <c r="F1036" s="33"/>
      <c r="G1036" s="33"/>
      <c r="H1036" s="33"/>
      <c r="I1036" s="33"/>
      <c r="J1036" s="33"/>
      <c r="K1036" s="33"/>
      <c r="L1036" s="33"/>
      <c r="M1036" s="33"/>
      <c r="N1036" s="33"/>
      <c r="O1036" s="33"/>
    </row>
    <row r="1037" spans="4:15">
      <c r="D1037" s="33"/>
      <c r="E1037" s="33"/>
      <c r="F1037" s="33"/>
      <c r="G1037" s="33"/>
      <c r="H1037" s="33"/>
      <c r="I1037" s="33"/>
      <c r="J1037" s="33"/>
      <c r="K1037" s="33"/>
      <c r="L1037" s="33"/>
      <c r="M1037" s="33"/>
      <c r="N1037" s="33"/>
      <c r="O1037" s="33"/>
    </row>
    <row r="1038" spans="4:15">
      <c r="D1038" s="33"/>
      <c r="E1038" s="33"/>
      <c r="F1038" s="33"/>
      <c r="G1038" s="33"/>
      <c r="H1038" s="33"/>
      <c r="I1038" s="33"/>
      <c r="J1038" s="33"/>
      <c r="K1038" s="33"/>
      <c r="L1038" s="33"/>
      <c r="M1038" s="33"/>
      <c r="N1038" s="33"/>
      <c r="O1038" s="33"/>
    </row>
    <row r="1039" spans="4:15">
      <c r="D1039" s="33"/>
      <c r="E1039" s="33"/>
      <c r="F1039" s="33"/>
      <c r="G1039" s="33"/>
      <c r="H1039" s="33"/>
      <c r="I1039" s="33"/>
      <c r="J1039" s="33"/>
      <c r="K1039" s="33"/>
      <c r="L1039" s="33"/>
      <c r="M1039" s="33"/>
      <c r="N1039" s="33"/>
      <c r="O1039" s="33"/>
    </row>
    <row r="1040" spans="4:15">
      <c r="D1040" s="33"/>
      <c r="E1040" s="33"/>
      <c r="F1040" s="33"/>
      <c r="G1040" s="33"/>
      <c r="H1040" s="33"/>
      <c r="I1040" s="33"/>
      <c r="J1040" s="33"/>
      <c r="K1040" s="33"/>
      <c r="L1040" s="33"/>
      <c r="M1040" s="33"/>
      <c r="N1040" s="33"/>
      <c r="O1040" s="33"/>
    </row>
    <row r="1041" spans="4:15">
      <c r="D1041" s="33"/>
      <c r="E1041" s="33"/>
      <c r="F1041" s="33"/>
      <c r="G1041" s="33"/>
      <c r="H1041" s="33"/>
      <c r="I1041" s="33"/>
      <c r="J1041" s="33"/>
      <c r="K1041" s="33"/>
      <c r="L1041" s="33"/>
      <c r="M1041" s="33"/>
      <c r="N1041" s="33"/>
      <c r="O1041" s="33"/>
    </row>
    <row r="1042" spans="4:15">
      <c r="D1042" s="33"/>
      <c r="E1042" s="33"/>
      <c r="F1042" s="33"/>
      <c r="G1042" s="33"/>
      <c r="H1042" s="33"/>
      <c r="I1042" s="33"/>
      <c r="J1042" s="33"/>
      <c r="K1042" s="33"/>
      <c r="L1042" s="33"/>
      <c r="M1042" s="33"/>
      <c r="N1042" s="33"/>
      <c r="O1042" s="33"/>
    </row>
    <row r="1043" spans="4:15">
      <c r="D1043" s="33"/>
      <c r="E1043" s="33"/>
      <c r="F1043" s="33"/>
      <c r="G1043" s="33"/>
      <c r="H1043" s="33"/>
      <c r="I1043" s="33"/>
      <c r="J1043" s="33"/>
      <c r="K1043" s="33"/>
      <c r="L1043" s="33"/>
      <c r="M1043" s="33"/>
      <c r="N1043" s="33"/>
      <c r="O1043" s="33"/>
    </row>
    <row r="1044" spans="4:15">
      <c r="D1044" s="33"/>
      <c r="E1044" s="33"/>
      <c r="F1044" s="33"/>
      <c r="G1044" s="33"/>
      <c r="H1044" s="33"/>
      <c r="I1044" s="33"/>
      <c r="J1044" s="33"/>
      <c r="K1044" s="33"/>
      <c r="L1044" s="33"/>
      <c r="M1044" s="33"/>
      <c r="N1044" s="33"/>
      <c r="O1044" s="33"/>
    </row>
    <row r="1045" spans="4:15">
      <c r="D1045" s="33"/>
      <c r="E1045" s="33"/>
      <c r="F1045" s="33"/>
      <c r="G1045" s="33"/>
      <c r="H1045" s="33"/>
      <c r="I1045" s="33"/>
      <c r="J1045" s="33"/>
      <c r="K1045" s="33"/>
      <c r="L1045" s="33"/>
      <c r="M1045" s="33"/>
      <c r="N1045" s="33"/>
      <c r="O1045" s="33"/>
    </row>
    <row r="1046" spans="4:15">
      <c r="D1046" s="33"/>
      <c r="E1046" s="33"/>
      <c r="F1046" s="33"/>
      <c r="G1046" s="33"/>
      <c r="H1046" s="33"/>
      <c r="I1046" s="33"/>
      <c r="J1046" s="33"/>
      <c r="K1046" s="33"/>
      <c r="L1046" s="33"/>
      <c r="M1046" s="33"/>
      <c r="N1046" s="33"/>
      <c r="O1046" s="33"/>
    </row>
    <row r="1047" spans="4:15">
      <c r="D1047" s="33"/>
      <c r="E1047" s="33"/>
      <c r="F1047" s="33"/>
      <c r="G1047" s="33"/>
      <c r="H1047" s="33"/>
      <c r="I1047" s="33"/>
      <c r="J1047" s="33"/>
      <c r="K1047" s="33"/>
      <c r="L1047" s="33"/>
      <c r="M1047" s="33"/>
      <c r="N1047" s="33"/>
      <c r="O1047" s="33"/>
    </row>
    <row r="1048" spans="4:15">
      <c r="D1048" s="33"/>
      <c r="E1048" s="33"/>
      <c r="F1048" s="33"/>
      <c r="G1048" s="33"/>
      <c r="H1048" s="33"/>
      <c r="I1048" s="33"/>
      <c r="J1048" s="33"/>
      <c r="K1048" s="33"/>
      <c r="L1048" s="33"/>
      <c r="M1048" s="33"/>
      <c r="N1048" s="33"/>
      <c r="O1048" s="33"/>
    </row>
    <row r="1049" spans="4:15">
      <c r="D1049" s="33"/>
      <c r="E1049" s="33"/>
      <c r="F1049" s="33"/>
      <c r="G1049" s="33"/>
      <c r="H1049" s="33"/>
      <c r="I1049" s="33"/>
      <c r="J1049" s="33"/>
      <c r="K1049" s="33"/>
      <c r="L1049" s="33"/>
      <c r="M1049" s="33"/>
      <c r="N1049" s="33"/>
      <c r="O1049" s="33"/>
    </row>
    <row r="1050" spans="4:15">
      <c r="D1050" s="33"/>
      <c r="E1050" s="33"/>
      <c r="F1050" s="33"/>
      <c r="G1050" s="33"/>
      <c r="H1050" s="33"/>
      <c r="I1050" s="33"/>
      <c r="J1050" s="33"/>
      <c r="K1050" s="33"/>
      <c r="L1050" s="33"/>
      <c r="M1050" s="33"/>
      <c r="N1050" s="33"/>
      <c r="O1050" s="33"/>
    </row>
    <row r="1051" spans="4:15">
      <c r="D1051" s="33"/>
      <c r="E1051" s="33"/>
      <c r="F1051" s="33"/>
      <c r="G1051" s="33"/>
      <c r="H1051" s="33"/>
      <c r="I1051" s="33"/>
      <c r="J1051" s="33"/>
      <c r="K1051" s="33"/>
      <c r="L1051" s="33"/>
      <c r="M1051" s="33"/>
      <c r="N1051" s="33"/>
      <c r="O1051" s="33"/>
    </row>
    <row r="1052" spans="4:15">
      <c r="D1052" s="33"/>
      <c r="E1052" s="33"/>
      <c r="F1052" s="33"/>
      <c r="G1052" s="33"/>
      <c r="H1052" s="33"/>
      <c r="I1052" s="33"/>
      <c r="J1052" s="33"/>
      <c r="K1052" s="33"/>
      <c r="L1052" s="33"/>
      <c r="M1052" s="33"/>
      <c r="N1052" s="33"/>
      <c r="O1052" s="33"/>
    </row>
    <row r="1053" spans="4:15">
      <c r="D1053" s="33"/>
      <c r="E1053" s="33"/>
      <c r="F1053" s="33"/>
      <c r="G1053" s="33"/>
      <c r="H1053" s="33"/>
      <c r="I1053" s="33"/>
      <c r="J1053" s="33"/>
      <c r="K1053" s="33"/>
      <c r="L1053" s="33"/>
      <c r="M1053" s="33"/>
      <c r="N1053" s="33"/>
      <c r="O1053" s="33"/>
    </row>
    <row r="1054" spans="4:15">
      <c r="D1054" s="33"/>
      <c r="E1054" s="33"/>
      <c r="F1054" s="33"/>
      <c r="G1054" s="33"/>
      <c r="H1054" s="33"/>
      <c r="I1054" s="33"/>
      <c r="J1054" s="33"/>
      <c r="K1054" s="33"/>
      <c r="L1054" s="33"/>
      <c r="M1054" s="33"/>
      <c r="N1054" s="33"/>
      <c r="O1054" s="33"/>
    </row>
    <row r="1055" spans="4:15">
      <c r="D1055" s="33"/>
      <c r="E1055" s="33"/>
      <c r="F1055" s="33"/>
      <c r="G1055" s="33"/>
      <c r="H1055" s="33"/>
      <c r="I1055" s="33"/>
      <c r="J1055" s="33"/>
      <c r="K1055" s="33"/>
      <c r="L1055" s="33"/>
      <c r="M1055" s="33"/>
      <c r="N1055" s="33"/>
      <c r="O1055" s="33"/>
    </row>
    <row r="1056" spans="4:15">
      <c r="D1056" s="33"/>
      <c r="E1056" s="33"/>
      <c r="F1056" s="33"/>
      <c r="G1056" s="33"/>
      <c r="H1056" s="33"/>
      <c r="I1056" s="33"/>
      <c r="J1056" s="33"/>
      <c r="K1056" s="33"/>
      <c r="L1056" s="33"/>
      <c r="M1056" s="33"/>
      <c r="N1056" s="33"/>
      <c r="O1056" s="33"/>
    </row>
    <row r="1057" spans="4:15">
      <c r="D1057" s="33"/>
      <c r="E1057" s="33"/>
      <c r="F1057" s="33"/>
      <c r="G1057" s="33"/>
      <c r="H1057" s="33"/>
      <c r="I1057" s="33"/>
      <c r="J1057" s="33"/>
      <c r="K1057" s="33"/>
      <c r="L1057" s="33"/>
      <c r="M1057" s="33"/>
      <c r="N1057" s="33"/>
      <c r="O1057" s="33"/>
    </row>
    <row r="1058" spans="4:15">
      <c r="D1058" s="33"/>
      <c r="E1058" s="33"/>
      <c r="F1058" s="33"/>
      <c r="G1058" s="33"/>
      <c r="H1058" s="33"/>
      <c r="I1058" s="33"/>
      <c r="J1058" s="33"/>
      <c r="K1058" s="33"/>
      <c r="L1058" s="33"/>
      <c r="M1058" s="33"/>
      <c r="N1058" s="33"/>
      <c r="O1058" s="33"/>
    </row>
    <row r="1059" spans="4:15">
      <c r="D1059" s="33"/>
      <c r="E1059" s="33"/>
      <c r="F1059" s="33"/>
      <c r="G1059" s="33"/>
      <c r="H1059" s="33"/>
      <c r="I1059" s="33"/>
      <c r="J1059" s="33"/>
      <c r="K1059" s="33"/>
      <c r="L1059" s="33"/>
      <c r="M1059" s="33"/>
      <c r="N1059" s="33"/>
      <c r="O1059" s="33"/>
    </row>
    <row r="1060" spans="4:15">
      <c r="D1060" s="33"/>
      <c r="E1060" s="33"/>
      <c r="F1060" s="33"/>
      <c r="G1060" s="33"/>
      <c r="H1060" s="33"/>
      <c r="I1060" s="33"/>
      <c r="J1060" s="33"/>
      <c r="K1060" s="33"/>
      <c r="L1060" s="33"/>
      <c r="M1060" s="33"/>
      <c r="N1060" s="33"/>
      <c r="O1060" s="33"/>
    </row>
    <row r="1061" spans="4:15">
      <c r="D1061" s="33"/>
      <c r="E1061" s="33"/>
      <c r="F1061" s="33"/>
      <c r="G1061" s="33"/>
      <c r="H1061" s="33"/>
      <c r="I1061" s="33"/>
      <c r="J1061" s="33"/>
      <c r="K1061" s="33"/>
      <c r="L1061" s="33"/>
      <c r="M1061" s="33"/>
      <c r="N1061" s="33"/>
      <c r="O1061" s="33"/>
    </row>
    <row r="1062" spans="4:15">
      <c r="D1062" s="33"/>
      <c r="E1062" s="33"/>
      <c r="F1062" s="33"/>
      <c r="G1062" s="33"/>
      <c r="H1062" s="33"/>
      <c r="I1062" s="33"/>
      <c r="J1062" s="33"/>
      <c r="K1062" s="33"/>
      <c r="L1062" s="33"/>
      <c r="M1062" s="33"/>
      <c r="N1062" s="33"/>
      <c r="O1062" s="33"/>
    </row>
    <row r="1063" spans="4:15">
      <c r="D1063" s="33"/>
      <c r="E1063" s="33"/>
      <c r="F1063" s="33"/>
      <c r="G1063" s="33"/>
      <c r="H1063" s="33"/>
      <c r="I1063" s="33"/>
      <c r="J1063" s="33"/>
      <c r="K1063" s="33"/>
      <c r="L1063" s="33"/>
      <c r="M1063" s="33"/>
      <c r="N1063" s="33"/>
      <c r="O1063" s="33"/>
    </row>
    <row r="1064" spans="4:15">
      <c r="D1064" s="33"/>
      <c r="E1064" s="33"/>
      <c r="F1064" s="33"/>
      <c r="G1064" s="33"/>
      <c r="H1064" s="33"/>
      <c r="I1064" s="33"/>
      <c r="J1064" s="33"/>
      <c r="K1064" s="33"/>
      <c r="L1064" s="33"/>
      <c r="M1064" s="33"/>
      <c r="N1064" s="33"/>
      <c r="O1064" s="33"/>
    </row>
    <row r="1065" spans="4:15">
      <c r="D1065" s="33"/>
      <c r="E1065" s="33"/>
      <c r="F1065" s="33"/>
      <c r="G1065" s="33"/>
      <c r="H1065" s="33"/>
      <c r="I1065" s="33"/>
      <c r="J1065" s="33"/>
      <c r="K1065" s="33"/>
      <c r="L1065" s="33"/>
      <c r="M1065" s="33"/>
      <c r="N1065" s="33"/>
      <c r="O1065" s="33"/>
    </row>
    <row r="1066" spans="4:15">
      <c r="D1066" s="33"/>
      <c r="E1066" s="33"/>
      <c r="F1066" s="33"/>
      <c r="G1066" s="33"/>
      <c r="H1066" s="33"/>
      <c r="I1066" s="33"/>
      <c r="J1066" s="33"/>
      <c r="K1066" s="33"/>
      <c r="L1066" s="33"/>
      <c r="M1066" s="33"/>
      <c r="N1066" s="33"/>
      <c r="O1066" s="33"/>
    </row>
    <row r="1067" spans="4:15">
      <c r="D1067" s="33"/>
      <c r="E1067" s="33"/>
      <c r="F1067" s="33"/>
      <c r="G1067" s="33"/>
      <c r="H1067" s="33"/>
      <c r="I1067" s="33"/>
      <c r="J1067" s="33"/>
      <c r="K1067" s="33"/>
      <c r="L1067" s="33"/>
      <c r="M1067" s="33"/>
      <c r="N1067" s="33"/>
      <c r="O1067" s="33"/>
    </row>
    <row r="1068" spans="4:15">
      <c r="D1068" s="33"/>
      <c r="E1068" s="33"/>
      <c r="F1068" s="33"/>
      <c r="G1068" s="33"/>
      <c r="H1068" s="33"/>
      <c r="I1068" s="33"/>
      <c r="J1068" s="33"/>
      <c r="K1068" s="33"/>
      <c r="L1068" s="33"/>
      <c r="M1068" s="33"/>
      <c r="N1068" s="33"/>
      <c r="O1068" s="33"/>
    </row>
    <row r="1069" spans="4:15">
      <c r="D1069" s="33"/>
      <c r="E1069" s="33"/>
      <c r="F1069" s="33"/>
      <c r="G1069" s="33"/>
      <c r="H1069" s="33"/>
      <c r="I1069" s="33"/>
      <c r="J1069" s="33"/>
      <c r="K1069" s="33"/>
      <c r="L1069" s="33"/>
      <c r="M1069" s="33"/>
      <c r="N1069" s="33"/>
      <c r="O1069" s="33"/>
    </row>
    <row r="1070" spans="4:15">
      <c r="D1070" s="33"/>
      <c r="E1070" s="33"/>
      <c r="F1070" s="33"/>
      <c r="G1070" s="33"/>
      <c r="H1070" s="33"/>
      <c r="I1070" s="33"/>
      <c r="J1070" s="33"/>
      <c r="K1070" s="33"/>
      <c r="L1070" s="33"/>
      <c r="M1070" s="33"/>
      <c r="N1070" s="33"/>
      <c r="O1070" s="33"/>
    </row>
    <row r="1071" spans="4:15">
      <c r="D1071" s="33"/>
      <c r="E1071" s="33"/>
      <c r="F1071" s="33"/>
      <c r="G1071" s="33"/>
      <c r="H1071" s="33"/>
      <c r="I1071" s="33"/>
      <c r="J1071" s="33"/>
      <c r="K1071" s="33"/>
      <c r="L1071" s="33"/>
      <c r="M1071" s="33"/>
      <c r="N1071" s="33"/>
      <c r="O1071" s="33"/>
    </row>
    <row r="1072" spans="4:15">
      <c r="D1072" s="33"/>
      <c r="E1072" s="33"/>
      <c r="F1072" s="33"/>
      <c r="G1072" s="33"/>
      <c r="H1072" s="33"/>
      <c r="I1072" s="33"/>
      <c r="J1072" s="33"/>
      <c r="K1072" s="33"/>
      <c r="L1072" s="33"/>
      <c r="M1072" s="33"/>
      <c r="N1072" s="33"/>
      <c r="O1072" s="33"/>
    </row>
    <row r="1073" spans="4:15">
      <c r="D1073" s="33"/>
      <c r="E1073" s="33"/>
      <c r="F1073" s="33"/>
      <c r="G1073" s="33"/>
      <c r="H1073" s="33"/>
      <c r="I1073" s="33"/>
      <c r="J1073" s="33"/>
      <c r="K1073" s="33"/>
      <c r="L1073" s="33"/>
      <c r="M1073" s="33"/>
      <c r="N1073" s="33"/>
      <c r="O1073" s="33"/>
    </row>
    <row r="1074" spans="4:15">
      <c r="D1074" s="33"/>
      <c r="E1074" s="33"/>
      <c r="F1074" s="33"/>
      <c r="G1074" s="33"/>
      <c r="H1074" s="33"/>
      <c r="I1074" s="33"/>
      <c r="J1074" s="33"/>
      <c r="K1074" s="33"/>
      <c r="L1074" s="33"/>
      <c r="M1074" s="33"/>
      <c r="N1074" s="33"/>
      <c r="O1074" s="33"/>
    </row>
    <row r="1075" spans="4:15">
      <c r="D1075" s="33"/>
      <c r="E1075" s="33"/>
      <c r="F1075" s="33"/>
      <c r="G1075" s="33"/>
      <c r="H1075" s="33"/>
      <c r="I1075" s="33"/>
      <c r="J1075" s="33"/>
      <c r="K1075" s="33"/>
      <c r="L1075" s="33"/>
      <c r="M1075" s="33"/>
      <c r="N1075" s="33"/>
      <c r="O1075" s="33"/>
    </row>
    <row r="1076" spans="4:15">
      <c r="D1076" s="33"/>
      <c r="E1076" s="33"/>
      <c r="F1076" s="33"/>
      <c r="G1076" s="33"/>
      <c r="H1076" s="33"/>
      <c r="I1076" s="33"/>
      <c r="J1076" s="33"/>
      <c r="K1076" s="33"/>
      <c r="L1076" s="33"/>
      <c r="M1076" s="33"/>
      <c r="N1076" s="33"/>
      <c r="O1076" s="33"/>
    </row>
    <row r="1077" spans="4:15">
      <c r="D1077" s="33"/>
      <c r="E1077" s="33"/>
      <c r="F1077" s="33"/>
      <c r="G1077" s="33"/>
      <c r="H1077" s="33"/>
      <c r="I1077" s="33"/>
      <c r="J1077" s="33"/>
      <c r="K1077" s="33"/>
      <c r="L1077" s="33"/>
      <c r="M1077" s="33"/>
      <c r="N1077" s="33"/>
      <c r="O1077" s="33"/>
    </row>
    <row r="1078" spans="4:15">
      <c r="D1078" s="33"/>
      <c r="E1078" s="33"/>
      <c r="F1078" s="33"/>
      <c r="G1078" s="33"/>
      <c r="H1078" s="33"/>
      <c r="I1078" s="33"/>
      <c r="J1078" s="33"/>
      <c r="K1078" s="33"/>
      <c r="L1078" s="33"/>
      <c r="M1078" s="33"/>
      <c r="N1078" s="33"/>
      <c r="O1078" s="33"/>
    </row>
    <row r="1079" spans="4:15">
      <c r="D1079" s="33"/>
      <c r="E1079" s="33"/>
      <c r="F1079" s="33"/>
      <c r="G1079" s="33"/>
      <c r="H1079" s="33"/>
      <c r="I1079" s="33"/>
      <c r="J1079" s="33"/>
      <c r="K1079" s="33"/>
      <c r="L1079" s="33"/>
      <c r="M1079" s="33"/>
      <c r="N1079" s="33"/>
      <c r="O1079" s="33"/>
    </row>
    <row r="1080" spans="4:15">
      <c r="D1080" s="33"/>
      <c r="E1080" s="33"/>
      <c r="F1080" s="33"/>
      <c r="G1080" s="33"/>
      <c r="H1080" s="33"/>
      <c r="I1080" s="33"/>
      <c r="J1080" s="33"/>
      <c r="K1080" s="33"/>
      <c r="L1080" s="33"/>
      <c r="M1080" s="33"/>
      <c r="N1080" s="33"/>
      <c r="O1080" s="33"/>
    </row>
    <row r="1081" spans="4:15">
      <c r="D1081" s="33"/>
      <c r="E1081" s="33"/>
      <c r="F1081" s="33"/>
      <c r="G1081" s="33"/>
      <c r="H1081" s="33"/>
      <c r="I1081" s="33"/>
      <c r="J1081" s="33"/>
      <c r="K1081" s="33"/>
      <c r="L1081" s="33"/>
      <c r="M1081" s="33"/>
      <c r="N1081" s="33"/>
      <c r="O1081" s="33"/>
    </row>
    <row r="1082" spans="4:15">
      <c r="D1082" s="33"/>
      <c r="E1082" s="33"/>
      <c r="F1082" s="33"/>
      <c r="G1082" s="33"/>
      <c r="H1082" s="33"/>
      <c r="I1082" s="33"/>
      <c r="J1082" s="33"/>
      <c r="K1082" s="33"/>
      <c r="L1082" s="33"/>
      <c r="M1082" s="33"/>
      <c r="N1082" s="33"/>
      <c r="O1082" s="33"/>
    </row>
    <row r="1083" spans="4:15">
      <c r="D1083" s="33"/>
      <c r="E1083" s="33"/>
      <c r="F1083" s="33"/>
      <c r="G1083" s="33"/>
      <c r="H1083" s="33"/>
      <c r="I1083" s="33"/>
      <c r="J1083" s="33"/>
      <c r="K1083" s="33"/>
      <c r="L1083" s="33"/>
      <c r="M1083" s="33"/>
      <c r="N1083" s="33"/>
      <c r="O1083" s="33"/>
    </row>
    <row r="1084" spans="4:15">
      <c r="D1084" s="33"/>
      <c r="E1084" s="33"/>
      <c r="F1084" s="33"/>
      <c r="G1084" s="33"/>
      <c r="H1084" s="33"/>
      <c r="I1084" s="33"/>
      <c r="J1084" s="33"/>
      <c r="K1084" s="33"/>
      <c r="L1084" s="33"/>
      <c r="M1084" s="33"/>
      <c r="N1084" s="33"/>
      <c r="O1084" s="33"/>
    </row>
    <row r="1085" spans="4:15">
      <c r="D1085" s="33"/>
      <c r="E1085" s="33"/>
      <c r="F1085" s="33"/>
      <c r="G1085" s="33"/>
      <c r="H1085" s="33"/>
      <c r="I1085" s="33"/>
      <c r="J1085" s="33"/>
      <c r="K1085" s="33"/>
      <c r="L1085" s="33"/>
      <c r="M1085" s="33"/>
      <c r="N1085" s="33"/>
      <c r="O1085" s="33"/>
    </row>
    <row r="1086" spans="4:15">
      <c r="D1086" s="33"/>
      <c r="E1086" s="33"/>
      <c r="F1086" s="33"/>
      <c r="G1086" s="33"/>
      <c r="H1086" s="33"/>
      <c r="I1086" s="33"/>
      <c r="J1086" s="33"/>
      <c r="K1086" s="33"/>
      <c r="L1086" s="33"/>
      <c r="M1086" s="33"/>
      <c r="N1086" s="33"/>
      <c r="O1086" s="33"/>
    </row>
    <row r="1087" spans="4:15">
      <c r="D1087" s="33"/>
      <c r="E1087" s="33"/>
      <c r="F1087" s="33"/>
      <c r="G1087" s="33"/>
      <c r="H1087" s="33"/>
      <c r="I1087" s="33"/>
      <c r="J1087" s="33"/>
      <c r="K1087" s="33"/>
      <c r="L1087" s="33"/>
      <c r="M1087" s="33"/>
      <c r="N1087" s="33"/>
      <c r="O1087" s="33"/>
    </row>
    <row r="1088" spans="4:15">
      <c r="D1088" s="33"/>
      <c r="E1088" s="33"/>
      <c r="F1088" s="33"/>
      <c r="G1088" s="33"/>
      <c r="H1088" s="33"/>
      <c r="I1088" s="33"/>
      <c r="J1088" s="33"/>
      <c r="K1088" s="33"/>
      <c r="L1088" s="33"/>
      <c r="M1088" s="33"/>
      <c r="N1088" s="33"/>
      <c r="O1088" s="33"/>
    </row>
    <row r="1089" spans="4:15">
      <c r="D1089" s="33"/>
      <c r="E1089" s="33"/>
      <c r="F1089" s="33"/>
      <c r="G1089" s="33"/>
      <c r="H1089" s="33"/>
      <c r="I1089" s="33"/>
      <c r="J1089" s="33"/>
      <c r="K1089" s="33"/>
      <c r="L1089" s="33"/>
      <c r="M1089" s="33"/>
      <c r="N1089" s="33"/>
      <c r="O1089" s="33"/>
    </row>
    <row r="1090" spans="4:15">
      <c r="D1090" s="33"/>
      <c r="E1090" s="33"/>
      <c r="F1090" s="33"/>
      <c r="G1090" s="33"/>
      <c r="H1090" s="33"/>
      <c r="I1090" s="33"/>
      <c r="J1090" s="33"/>
      <c r="K1090" s="33"/>
      <c r="L1090" s="33"/>
      <c r="M1090" s="33"/>
      <c r="N1090" s="33"/>
      <c r="O1090" s="33"/>
    </row>
    <row r="1091" spans="4:15">
      <c r="D1091" s="33"/>
      <c r="E1091" s="33"/>
      <c r="F1091" s="33"/>
      <c r="G1091" s="33"/>
      <c r="H1091" s="33"/>
      <c r="I1091" s="33"/>
      <c r="J1091" s="33"/>
      <c r="K1091" s="33"/>
      <c r="L1091" s="33"/>
      <c r="M1091" s="33"/>
      <c r="N1091" s="33"/>
      <c r="O1091" s="33"/>
    </row>
    <row r="1092" spans="4:15">
      <c r="D1092" s="33"/>
      <c r="E1092" s="33"/>
      <c r="F1092" s="33"/>
      <c r="G1092" s="33"/>
      <c r="H1092" s="33"/>
      <c r="I1092" s="33"/>
      <c r="J1092" s="33"/>
      <c r="K1092" s="33"/>
      <c r="L1092" s="33"/>
      <c r="M1092" s="33"/>
      <c r="N1092" s="33"/>
      <c r="O1092" s="33"/>
    </row>
    <row r="1093" spans="4:15">
      <c r="D1093" s="33"/>
      <c r="E1093" s="33"/>
      <c r="F1093" s="33"/>
      <c r="G1093" s="33"/>
      <c r="H1093" s="33"/>
      <c r="I1093" s="33"/>
      <c r="J1093" s="33"/>
      <c r="K1093" s="33"/>
      <c r="L1093" s="33"/>
      <c r="M1093" s="33"/>
      <c r="N1093" s="33"/>
      <c r="O1093" s="33"/>
    </row>
    <row r="1094" spans="4:15">
      <c r="D1094" s="33"/>
      <c r="E1094" s="33"/>
      <c r="F1094" s="33"/>
      <c r="G1094" s="33"/>
      <c r="H1094" s="33"/>
      <c r="I1094" s="33"/>
      <c r="J1094" s="33"/>
      <c r="K1094" s="33"/>
      <c r="L1094" s="33"/>
      <c r="M1094" s="33"/>
      <c r="N1094" s="33"/>
      <c r="O1094" s="33"/>
    </row>
    <row r="1095" spans="4:15">
      <c r="D1095" s="33"/>
      <c r="E1095" s="33"/>
      <c r="F1095" s="33"/>
      <c r="G1095" s="33"/>
      <c r="H1095" s="33"/>
      <c r="I1095" s="33"/>
      <c r="J1095" s="33"/>
      <c r="K1095" s="33"/>
      <c r="L1095" s="33"/>
      <c r="M1095" s="33"/>
      <c r="N1095" s="33"/>
      <c r="O1095" s="33"/>
    </row>
    <row r="1096" spans="4:15">
      <c r="D1096" s="33"/>
      <c r="E1096" s="33"/>
      <c r="F1096" s="33"/>
      <c r="G1096" s="33"/>
      <c r="H1096" s="33"/>
      <c r="I1096" s="33"/>
      <c r="J1096" s="33"/>
      <c r="K1096" s="33"/>
      <c r="L1096" s="33"/>
      <c r="M1096" s="33"/>
      <c r="N1096" s="33"/>
      <c r="O1096" s="33"/>
    </row>
    <row r="1097" spans="4:15">
      <c r="D1097" s="33"/>
      <c r="E1097" s="33"/>
      <c r="F1097" s="33"/>
      <c r="G1097" s="33"/>
      <c r="H1097" s="33"/>
      <c r="I1097" s="33"/>
      <c r="J1097" s="33"/>
      <c r="K1097" s="33"/>
      <c r="L1097" s="33"/>
      <c r="M1097" s="33"/>
      <c r="N1097" s="33"/>
      <c r="O1097" s="33"/>
    </row>
    <row r="1098" spans="4:15">
      <c r="D1098" s="33"/>
      <c r="E1098" s="33"/>
      <c r="F1098" s="33"/>
      <c r="G1098" s="33"/>
      <c r="H1098" s="33"/>
      <c r="I1098" s="33"/>
      <c r="J1098" s="33"/>
      <c r="K1098" s="33"/>
      <c r="L1098" s="33"/>
      <c r="M1098" s="33"/>
      <c r="N1098" s="33"/>
      <c r="O1098" s="33"/>
    </row>
    <row r="1099" spans="4:15">
      <c r="D1099" s="33"/>
      <c r="E1099" s="33"/>
      <c r="F1099" s="33"/>
      <c r="G1099" s="33"/>
      <c r="H1099" s="33"/>
      <c r="I1099" s="33"/>
      <c r="J1099" s="33"/>
      <c r="K1099" s="33"/>
      <c r="L1099" s="33"/>
      <c r="M1099" s="33"/>
      <c r="N1099" s="33"/>
      <c r="O1099" s="33"/>
    </row>
    <row r="1100" spans="4:15">
      <c r="D1100" s="33"/>
      <c r="E1100" s="33"/>
      <c r="F1100" s="33"/>
      <c r="G1100" s="33"/>
      <c r="H1100" s="33"/>
      <c r="I1100" s="33"/>
      <c r="J1100" s="33"/>
      <c r="K1100" s="33"/>
      <c r="L1100" s="33"/>
      <c r="M1100" s="33"/>
      <c r="N1100" s="33"/>
      <c r="O1100" s="33"/>
    </row>
    <row r="1101" spans="4:15">
      <c r="D1101" s="33"/>
      <c r="E1101" s="33"/>
      <c r="F1101" s="33"/>
      <c r="G1101" s="33"/>
      <c r="H1101" s="33"/>
      <c r="I1101" s="33"/>
      <c r="J1101" s="33"/>
      <c r="K1101" s="33"/>
      <c r="L1101" s="33"/>
      <c r="M1101" s="33"/>
      <c r="N1101" s="33"/>
      <c r="O1101" s="33"/>
    </row>
    <row r="1102" spans="4:15">
      <c r="D1102" s="33"/>
      <c r="E1102" s="33"/>
      <c r="F1102" s="33"/>
      <c r="G1102" s="33"/>
      <c r="H1102" s="33"/>
      <c r="I1102" s="33"/>
      <c r="J1102" s="33"/>
      <c r="K1102" s="33"/>
      <c r="L1102" s="33"/>
      <c r="M1102" s="33"/>
      <c r="N1102" s="33"/>
      <c r="O1102" s="33"/>
    </row>
    <row r="1103" spans="4:15">
      <c r="D1103" s="33"/>
      <c r="E1103" s="33"/>
      <c r="F1103" s="33"/>
      <c r="G1103" s="33"/>
      <c r="H1103" s="33"/>
      <c r="I1103" s="33"/>
      <c r="J1103" s="33"/>
      <c r="K1103" s="33"/>
      <c r="L1103" s="33"/>
      <c r="M1103" s="33"/>
      <c r="N1103" s="33"/>
      <c r="O1103" s="33"/>
    </row>
    <row r="1104" spans="4:15">
      <c r="D1104" s="33"/>
      <c r="E1104" s="33"/>
      <c r="F1104" s="33"/>
      <c r="G1104" s="33"/>
      <c r="H1104" s="33"/>
      <c r="I1104" s="33"/>
      <c r="J1104" s="33"/>
      <c r="K1104" s="33"/>
      <c r="L1104" s="33"/>
      <c r="M1104" s="33"/>
      <c r="N1104" s="33"/>
      <c r="O1104" s="33"/>
    </row>
    <row r="1105" spans="4:15">
      <c r="D1105" s="33"/>
      <c r="E1105" s="33"/>
      <c r="F1105" s="33"/>
      <c r="G1105" s="33"/>
      <c r="H1105" s="33"/>
      <c r="I1105" s="33"/>
      <c r="J1105" s="33"/>
      <c r="K1105" s="33"/>
      <c r="L1105" s="33"/>
      <c r="M1105" s="33"/>
      <c r="N1105" s="33"/>
      <c r="O1105" s="33"/>
    </row>
    <row r="1106" spans="4:15">
      <c r="D1106" s="33"/>
      <c r="E1106" s="33"/>
      <c r="F1106" s="33"/>
      <c r="G1106" s="33"/>
      <c r="H1106" s="33"/>
      <c r="I1106" s="33"/>
      <c r="J1106" s="33"/>
      <c r="K1106" s="33"/>
      <c r="L1106" s="33"/>
      <c r="M1106" s="33"/>
      <c r="N1106" s="33"/>
      <c r="O1106" s="33"/>
    </row>
    <row r="1107" spans="4:15">
      <c r="D1107" s="33"/>
      <c r="E1107" s="33"/>
      <c r="F1107" s="33"/>
      <c r="G1107" s="33"/>
      <c r="H1107" s="33"/>
      <c r="I1107" s="33"/>
      <c r="J1107" s="33"/>
      <c r="K1107" s="33"/>
      <c r="L1107" s="33"/>
      <c r="M1107" s="33"/>
      <c r="N1107" s="33"/>
      <c r="O1107" s="33"/>
    </row>
    <row r="1108" spans="4:15">
      <c r="D1108" s="33"/>
      <c r="E1108" s="33"/>
      <c r="F1108" s="33"/>
      <c r="G1108" s="33"/>
      <c r="H1108" s="33"/>
      <c r="I1108" s="33"/>
      <c r="J1108" s="33"/>
      <c r="K1108" s="33"/>
      <c r="L1108" s="33"/>
      <c r="M1108" s="33"/>
      <c r="N1108" s="33"/>
      <c r="O1108" s="33"/>
    </row>
    <row r="1109" spans="4:15">
      <c r="D1109" s="33"/>
      <c r="E1109" s="33"/>
      <c r="F1109" s="33"/>
      <c r="G1109" s="33"/>
      <c r="H1109" s="33"/>
      <c r="I1109" s="33"/>
      <c r="J1109" s="33"/>
      <c r="K1109" s="33"/>
      <c r="L1109" s="33"/>
      <c r="M1109" s="33"/>
      <c r="N1109" s="33"/>
      <c r="O1109" s="33"/>
    </row>
    <row r="1110" spans="4:15">
      <c r="D1110" s="33"/>
      <c r="E1110" s="33"/>
      <c r="F1110" s="33"/>
      <c r="G1110" s="33"/>
      <c r="H1110" s="33"/>
      <c r="I1110" s="33"/>
      <c r="J1110" s="33"/>
      <c r="K1110" s="33"/>
      <c r="L1110" s="33"/>
      <c r="M1110" s="33"/>
      <c r="N1110" s="33"/>
      <c r="O1110" s="33"/>
    </row>
    <row r="1111" spans="4:15">
      <c r="D1111" s="33"/>
      <c r="E1111" s="33"/>
      <c r="F1111" s="33"/>
      <c r="G1111" s="33"/>
      <c r="H1111" s="33"/>
      <c r="I1111" s="33"/>
      <c r="J1111" s="33"/>
      <c r="K1111" s="33"/>
      <c r="L1111" s="33"/>
      <c r="M1111" s="33"/>
      <c r="N1111" s="33"/>
      <c r="O1111" s="33"/>
    </row>
    <row r="1112" spans="4:15">
      <c r="D1112" s="33"/>
      <c r="E1112" s="33"/>
      <c r="F1112" s="33"/>
      <c r="G1112" s="33"/>
      <c r="H1112" s="33"/>
      <c r="I1112" s="33"/>
      <c r="J1112" s="33"/>
      <c r="K1112" s="33"/>
      <c r="L1112" s="33"/>
      <c r="M1112" s="33"/>
      <c r="N1112" s="33"/>
      <c r="O1112" s="33"/>
    </row>
    <row r="1113" spans="4:15">
      <c r="D1113" s="33"/>
      <c r="E1113" s="33"/>
      <c r="F1113" s="33"/>
      <c r="G1113" s="33"/>
      <c r="H1113" s="33"/>
      <c r="I1113" s="33"/>
      <c r="J1113" s="33"/>
      <c r="K1113" s="33"/>
      <c r="L1113" s="33"/>
      <c r="M1113" s="33"/>
      <c r="N1113" s="33"/>
      <c r="O1113" s="33"/>
    </row>
    <row r="1114" spans="4:15">
      <c r="D1114" s="33"/>
      <c r="E1114" s="33"/>
      <c r="F1114" s="33"/>
      <c r="G1114" s="33"/>
      <c r="H1114" s="33"/>
      <c r="I1114" s="33"/>
      <c r="J1114" s="33"/>
      <c r="K1114" s="33"/>
      <c r="L1114" s="33"/>
      <c r="M1114" s="33"/>
      <c r="N1114" s="33"/>
      <c r="O1114" s="33"/>
    </row>
    <row r="1115" spans="4:15">
      <c r="D1115" s="33"/>
      <c r="E1115" s="33"/>
      <c r="F1115" s="33"/>
      <c r="G1115" s="33"/>
      <c r="H1115" s="33"/>
      <c r="I1115" s="33"/>
      <c r="J1115" s="33"/>
      <c r="K1115" s="33"/>
      <c r="L1115" s="33"/>
      <c r="M1115" s="33"/>
      <c r="N1115" s="33"/>
      <c r="O1115" s="33"/>
    </row>
    <row r="1116" spans="4:15">
      <c r="D1116" s="33"/>
      <c r="E1116" s="33"/>
      <c r="F1116" s="33"/>
      <c r="G1116" s="33"/>
      <c r="H1116" s="33"/>
      <c r="I1116" s="33"/>
      <c r="J1116" s="33"/>
      <c r="K1116" s="33"/>
      <c r="L1116" s="33"/>
      <c r="M1116" s="33"/>
      <c r="N1116" s="33"/>
      <c r="O1116" s="33"/>
    </row>
    <row r="1117" spans="4:15">
      <c r="D1117" s="33"/>
      <c r="E1117" s="33"/>
      <c r="F1117" s="33"/>
      <c r="G1117" s="33"/>
      <c r="H1117" s="33"/>
      <c r="I1117" s="33"/>
      <c r="J1117" s="33"/>
      <c r="K1117" s="33"/>
      <c r="L1117" s="33"/>
      <c r="M1117" s="33"/>
      <c r="N1117" s="33"/>
      <c r="O1117" s="33"/>
    </row>
    <row r="1118" spans="4:15">
      <c r="D1118" s="33"/>
      <c r="E1118" s="33"/>
      <c r="F1118" s="33"/>
      <c r="G1118" s="33"/>
      <c r="H1118" s="33"/>
      <c r="I1118" s="33"/>
      <c r="J1118" s="33"/>
      <c r="K1118" s="33"/>
      <c r="L1118" s="33"/>
      <c r="M1118" s="33"/>
      <c r="N1118" s="33"/>
      <c r="O1118" s="33"/>
    </row>
    <row r="1119" spans="4:15">
      <c r="D1119" s="33"/>
      <c r="E1119" s="33"/>
      <c r="F1119" s="33"/>
      <c r="G1119" s="33"/>
      <c r="H1119" s="33"/>
      <c r="I1119" s="33"/>
      <c r="J1119" s="33"/>
      <c r="K1119" s="33"/>
      <c r="L1119" s="33"/>
      <c r="M1119" s="33"/>
      <c r="N1119" s="33"/>
      <c r="O1119" s="33"/>
    </row>
    <row r="1120" spans="4:15">
      <c r="D1120" s="33"/>
      <c r="E1120" s="33"/>
      <c r="F1120" s="33"/>
      <c r="G1120" s="33"/>
      <c r="H1120" s="33"/>
      <c r="I1120" s="33"/>
      <c r="J1120" s="33"/>
      <c r="K1120" s="33"/>
      <c r="L1120" s="33"/>
      <c r="M1120" s="33"/>
      <c r="N1120" s="33"/>
      <c r="O1120" s="33"/>
    </row>
  </sheetData>
  <sheetCalcPr fullCalcOnLoad="1"/>
  <sheetProtection password="C04C" sheet="1" objects="1" scenarios="1" selectLockedCells="1"/>
  <phoneticPr fontId="3" type="noConversion"/>
  <dataValidations count="3">
    <dataValidation type="list" allowBlank="1" showInputMessage="1" showErrorMessage="1" sqref="B5:B54">
      <formula1>WKNrListeMannschaft</formula1>
    </dataValidation>
    <dataValidation type="list" allowBlank="1" showInputMessage="1" showErrorMessage="1" sqref="D5:O54">
      <formula1>Auswahl_LA</formula1>
    </dataValidation>
    <dataValidation allowBlank="1" showInputMessage="1" showErrorMessage="1" promptTitle="Mannschafts-Bezeichnung" prompt="Tragen Sie die einzelnen Mitglieder der Mannschaft auf dem Blatt &quot;Teilnehmer&quot; ein und tragen Sie dort bei jedem Teilnehmer in der Spalte &quot;Mannschafts-Nr.&quot; die hier auf diesem Blatt angegebene Mannschafts-Nr. ein" sqref="C5:C54"/>
  </dataValidations>
  <pageMargins left="0.78740157480314965" right="0.78740157480314965" top="0.78740157480314965" bottom="0.78740157480314965" header="0.51181102362204722" footer="0.51181102362204722"/>
  <pageSetup paperSize="9" scale="93" orientation="portrait" r:id="rId1"/>
  <headerFooter alignWithMargins="0">
    <oddHeader>&amp;R&amp;A</oddHeader>
    <oddFooter>&amp;L&amp;D&amp;T&amp;R&amp;F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60"/>
  <sheetViews>
    <sheetView zoomScaleNormal="100" zoomScaleSheetLayoutView="100" workbookViewId="0">
      <selection activeCell="A17" sqref="A17"/>
    </sheetView>
  </sheetViews>
  <sheetFormatPr baseColWidth="10" defaultRowHeight="12.75"/>
  <cols>
    <col min="1" max="1" width="22.140625" style="33" customWidth="1"/>
    <col min="2" max="2" width="16" style="33" customWidth="1"/>
    <col min="3" max="3" width="25.7109375" style="33" hidden="1" customWidth="1"/>
    <col min="4" max="4" width="7.5703125" style="167" hidden="1" customWidth="1"/>
    <col min="5" max="5" width="21.85546875" style="33" hidden="1" customWidth="1"/>
    <col min="6" max="6" width="18.42578125" style="33" hidden="1" customWidth="1"/>
    <col min="7" max="7" width="40.42578125" style="33" customWidth="1"/>
    <col min="8" max="8" width="22.42578125" style="33" bestFit="1" customWidth="1"/>
    <col min="9" max="9" width="9.5703125" style="167" customWidth="1"/>
    <col min="10" max="10" width="13.140625" style="161" bestFit="1" customWidth="1"/>
    <col min="11" max="16384" width="11.42578125" style="33"/>
  </cols>
  <sheetData>
    <row r="1" spans="1:10">
      <c r="A1" s="161" t="s">
        <v>372</v>
      </c>
    </row>
    <row r="2" spans="1:10">
      <c r="A2" s="161"/>
    </row>
    <row r="3" spans="1:10">
      <c r="A3" s="33" t="s">
        <v>373</v>
      </c>
    </row>
    <row r="5" spans="1:10">
      <c r="A5" s="33" t="s">
        <v>374</v>
      </c>
      <c r="B5" s="33" t="str">
        <f>Übersicht!B63</f>
        <v>erforderliche Anzahl Kampfrichter Gymnastik</v>
      </c>
      <c r="H5" s="33">
        <f>Übersicht!O63</f>
        <v>0</v>
      </c>
      <c r="I5" s="33" t="s">
        <v>375</v>
      </c>
      <c r="J5" s="167" t="str">
        <f>IF(H57&lt;H5,"Fehler","i.o.")</f>
        <v>i.o.</v>
      </c>
    </row>
    <row r="6" spans="1:10">
      <c r="B6" s="33" t="str">
        <f>Übersicht!B64</f>
        <v>erforderliche Anzahl Kampfrichter Rope Skipping</v>
      </c>
      <c r="H6" s="33">
        <f>Übersicht!O64</f>
        <v>0</v>
      </c>
      <c r="I6" s="33" t="s">
        <v>375</v>
      </c>
      <c r="J6" s="167" t="str">
        <f>IF(H58&lt;H6,"Fehler","i.o.")</f>
        <v>i.o.</v>
      </c>
    </row>
    <row r="7" spans="1:10">
      <c r="B7" s="33" t="str">
        <f>Übersicht!B65</f>
        <v>erforderliche Anzahl Kampfrichter Dance</v>
      </c>
      <c r="H7" s="33">
        <f>Übersicht!O65</f>
        <v>0</v>
      </c>
      <c r="I7" s="33" t="s">
        <v>375</v>
      </c>
      <c r="J7" s="167" t="str">
        <f>IF(H59&lt;H7,"Fehler","i.o.")</f>
        <v>i.o.</v>
      </c>
    </row>
    <row r="8" spans="1:10">
      <c r="B8" s="33" t="str">
        <f>Übersicht!B66</f>
        <v>erforderliche Anzahl Kampfrichter Turnen und andere Fachgebiete</v>
      </c>
      <c r="H8" s="33">
        <f>Übersicht!O66</f>
        <v>0</v>
      </c>
      <c r="I8" s="33" t="s">
        <v>375</v>
      </c>
      <c r="J8" s="167" t="str">
        <f>IF(IF(Deckblatt!$C$14='WK-Vorlagen'!$C$82,SUM(H57:H60),H60)&lt;H8,"Fehler","i.o.")</f>
        <v>i.o.</v>
      </c>
    </row>
    <row r="9" spans="1:10" ht="12" customHeight="1">
      <c r="B9" s="33" t="str">
        <f>Übersicht!B67</f>
        <v>erforderliche Anzahl Helfer</v>
      </c>
      <c r="H9" s="33">
        <f>Übersicht!O67</f>
        <v>0</v>
      </c>
      <c r="I9" s="33" t="s">
        <v>380</v>
      </c>
      <c r="J9" s="167" t="str">
        <f>IF((H56&lt;H9)*(SUM(H56:H60)&lt;SUM(H5:H9)),"Fehler","i.o.")</f>
        <v>i.o.</v>
      </c>
    </row>
    <row r="10" spans="1:10" ht="12" customHeight="1">
      <c r="J10" s="33"/>
    </row>
    <row r="11" spans="1:10" ht="12" customHeight="1">
      <c r="A11" s="33" t="s">
        <v>417</v>
      </c>
      <c r="J11" s="33"/>
    </row>
    <row r="12" spans="1:10" ht="12" customHeight="1">
      <c r="A12" s="33" t="s">
        <v>418</v>
      </c>
      <c r="J12" s="33"/>
    </row>
    <row r="13" spans="1:10" ht="12" customHeight="1">
      <c r="A13" s="33" t="s">
        <v>419</v>
      </c>
      <c r="J13" s="33"/>
    </row>
    <row r="15" spans="1:10" ht="15.75">
      <c r="A15" s="157" t="str">
        <f>"Kampfrichter und Helfer " &amp; Deckblatt!C24</f>
        <v xml:space="preserve">Kampfrichter und Helfer </v>
      </c>
      <c r="B15" s="158"/>
      <c r="C15" s="158"/>
      <c r="D15" s="159"/>
      <c r="E15" s="158"/>
      <c r="F15" s="158"/>
      <c r="G15" s="158"/>
      <c r="H15" s="158"/>
      <c r="I15" s="160"/>
    </row>
    <row r="16" spans="1:10" s="165" customFormat="1" ht="11.25">
      <c r="A16" s="162" t="s">
        <v>213</v>
      </c>
      <c r="B16" s="162" t="s">
        <v>214</v>
      </c>
      <c r="C16" s="162" t="s">
        <v>217</v>
      </c>
      <c r="D16" s="163" t="s">
        <v>218</v>
      </c>
      <c r="E16" s="162" t="s">
        <v>219</v>
      </c>
      <c r="F16" s="162" t="s">
        <v>220</v>
      </c>
      <c r="G16" s="162" t="s">
        <v>221</v>
      </c>
      <c r="H16" s="162" t="s">
        <v>222</v>
      </c>
      <c r="I16" s="163" t="s">
        <v>223</v>
      </c>
      <c r="J16" s="164"/>
    </row>
    <row r="17" spans="1:10" ht="15">
      <c r="A17" s="88"/>
      <c r="B17" s="88"/>
      <c r="C17" s="88"/>
      <c r="D17" s="89"/>
      <c r="E17" s="88"/>
      <c r="F17" s="88"/>
      <c r="G17" s="148"/>
      <c r="H17" s="88"/>
      <c r="I17" s="62" t="str">
        <f>IF(OR(ISBLANK(A17),ISBLANK(B17),ISBLANK(H17)),"",IF(H17='Kampfrichter-Fachgebiete'!$A$2,'Kampfrichter-Lizenzen'!$A$8,"?"))</f>
        <v/>
      </c>
      <c r="J17" s="161" t="str">
        <f>IF(AND(OR(ISTEXT(A17),ISTEXT(B17),ISTEXT(H17),I17="?"),OR(ISBLANK(A17),ISBLANK(B17),ISBLANK(H17),I17="?")),"unvollständig","")</f>
        <v/>
      </c>
    </row>
    <row r="18" spans="1:10" ht="15">
      <c r="A18" s="63"/>
      <c r="B18" s="63"/>
      <c r="C18" s="63"/>
      <c r="D18" s="62"/>
      <c r="E18" s="63"/>
      <c r="F18" s="63"/>
      <c r="G18" s="63"/>
      <c r="H18" s="63"/>
      <c r="I18" s="62" t="str">
        <f>IF(OR(ISBLANK(A18),ISBLANK(B18),ISBLANK(H18)),"",IF(H18='Kampfrichter-Fachgebiete'!$A$2,'Kampfrichter-Lizenzen'!$A$8,"?"))</f>
        <v/>
      </c>
      <c r="J18" s="161" t="str">
        <f t="shared" ref="J18:J55" si="0">IF(AND(OR(ISTEXT(A18),ISTEXT(B18),ISTEXT(H18),I18="?"),OR(ISBLANK(A18),ISBLANK(B18),ISBLANK(H18),I18="?")),"unvollständig","")</f>
        <v/>
      </c>
    </row>
    <row r="19" spans="1:10" ht="15">
      <c r="A19" s="63"/>
      <c r="B19" s="63"/>
      <c r="C19" s="63"/>
      <c r="D19" s="62"/>
      <c r="E19" s="63"/>
      <c r="F19" s="63"/>
      <c r="G19" s="63"/>
      <c r="H19" s="63"/>
      <c r="I19" s="62" t="str">
        <f>IF(OR(ISBLANK(A19),ISBLANK(B19),ISBLANK(H19)),"",IF(H19='Kampfrichter-Fachgebiete'!$A$2,'Kampfrichter-Lizenzen'!$A$8,"?"))</f>
        <v/>
      </c>
      <c r="J19" s="161" t="str">
        <f t="shared" si="0"/>
        <v/>
      </c>
    </row>
    <row r="20" spans="1:10" ht="15">
      <c r="A20" s="63"/>
      <c r="B20" s="63"/>
      <c r="C20" s="63"/>
      <c r="D20" s="62"/>
      <c r="E20" s="63"/>
      <c r="F20" s="63"/>
      <c r="G20" s="63"/>
      <c r="H20" s="63"/>
      <c r="I20" s="62" t="str">
        <f>IF(OR(ISBLANK(A20),ISBLANK(B20),ISBLANK(H20)),"",IF(H20='Kampfrichter-Fachgebiete'!$A$2,'Kampfrichter-Lizenzen'!$A$8,"?"))</f>
        <v/>
      </c>
      <c r="J20" s="161" t="str">
        <f t="shared" si="0"/>
        <v/>
      </c>
    </row>
    <row r="21" spans="1:10" ht="15">
      <c r="A21" s="63"/>
      <c r="B21" s="63"/>
      <c r="C21" s="63"/>
      <c r="D21" s="62"/>
      <c r="E21" s="63"/>
      <c r="F21" s="63"/>
      <c r="G21" s="63"/>
      <c r="H21" s="63"/>
      <c r="I21" s="62" t="str">
        <f>IF(OR(ISBLANK(A21),ISBLANK(B21),ISBLANK(H21)),"",IF(H21='Kampfrichter-Fachgebiete'!$A$2,'Kampfrichter-Lizenzen'!$A$8,"?"))</f>
        <v/>
      </c>
      <c r="J21" s="161" t="str">
        <f t="shared" si="0"/>
        <v/>
      </c>
    </row>
    <row r="22" spans="1:10" ht="15">
      <c r="A22" s="63"/>
      <c r="B22" s="63"/>
      <c r="C22" s="63"/>
      <c r="D22" s="62"/>
      <c r="E22" s="63"/>
      <c r="F22" s="63"/>
      <c r="G22" s="63"/>
      <c r="H22" s="63"/>
      <c r="I22" s="62" t="str">
        <f>IF(OR(ISBLANK(A22),ISBLANK(B22),ISBLANK(H22)),"",IF(H22='Kampfrichter-Fachgebiete'!$A$2,'Kampfrichter-Lizenzen'!$A$8,"?"))</f>
        <v/>
      </c>
      <c r="J22" s="161" t="str">
        <f t="shared" si="0"/>
        <v/>
      </c>
    </row>
    <row r="23" spans="1:10" ht="15">
      <c r="A23" s="63"/>
      <c r="B23" s="63"/>
      <c r="C23" s="63"/>
      <c r="D23" s="62"/>
      <c r="E23" s="63"/>
      <c r="F23" s="63"/>
      <c r="G23" s="63"/>
      <c r="H23" s="63"/>
      <c r="I23" s="62" t="str">
        <f>IF(OR(ISBLANK(A23),ISBLANK(B23),ISBLANK(H23)),"",IF(H23='Kampfrichter-Fachgebiete'!$A$2,'Kampfrichter-Lizenzen'!$A$8,"?"))</f>
        <v/>
      </c>
      <c r="J23" s="161" t="str">
        <f t="shared" si="0"/>
        <v/>
      </c>
    </row>
    <row r="24" spans="1:10" ht="15">
      <c r="A24" s="63"/>
      <c r="B24" s="63"/>
      <c r="C24" s="63"/>
      <c r="D24" s="62"/>
      <c r="E24" s="63"/>
      <c r="F24" s="63"/>
      <c r="G24" s="63"/>
      <c r="H24" s="63"/>
      <c r="I24" s="62" t="str">
        <f>IF(OR(ISBLANK(A24),ISBLANK(B24),ISBLANK(H24)),"",IF(H24='Kampfrichter-Fachgebiete'!$A$2,'Kampfrichter-Lizenzen'!$A$8,"?"))</f>
        <v/>
      </c>
      <c r="J24" s="161" t="str">
        <f t="shared" si="0"/>
        <v/>
      </c>
    </row>
    <row r="25" spans="1:10" ht="15">
      <c r="A25" s="63"/>
      <c r="B25" s="63"/>
      <c r="C25" s="63"/>
      <c r="D25" s="62"/>
      <c r="E25" s="63"/>
      <c r="F25" s="63"/>
      <c r="G25" s="63"/>
      <c r="H25" s="63"/>
      <c r="I25" s="62" t="str">
        <f>IF(OR(ISBLANK(A25),ISBLANK(B25),ISBLANK(H25)),"",IF(H25='Kampfrichter-Fachgebiete'!$A$2,'Kampfrichter-Lizenzen'!$A$8,"?"))</f>
        <v/>
      </c>
      <c r="J25" s="161" t="str">
        <f t="shared" si="0"/>
        <v/>
      </c>
    </row>
    <row r="26" spans="1:10" ht="15">
      <c r="A26" s="63"/>
      <c r="B26" s="63"/>
      <c r="C26" s="63"/>
      <c r="D26" s="62"/>
      <c r="E26" s="63"/>
      <c r="F26" s="63"/>
      <c r="G26" s="63"/>
      <c r="H26" s="63"/>
      <c r="I26" s="62" t="str">
        <f>IF(OR(ISBLANK(A26),ISBLANK(B26),ISBLANK(H26)),"",IF(H26='Kampfrichter-Fachgebiete'!$A$2,'Kampfrichter-Lizenzen'!$A$8,"?"))</f>
        <v/>
      </c>
      <c r="J26" s="161" t="str">
        <f t="shared" si="0"/>
        <v/>
      </c>
    </row>
    <row r="27" spans="1:10" ht="15">
      <c r="A27" s="63"/>
      <c r="B27" s="63"/>
      <c r="C27" s="63"/>
      <c r="D27" s="62"/>
      <c r="E27" s="63"/>
      <c r="F27" s="63"/>
      <c r="G27" s="63"/>
      <c r="H27" s="63"/>
      <c r="I27" s="62" t="str">
        <f>IF(OR(ISBLANK(A27),ISBLANK(B27),ISBLANK(H27)),"",IF(H27='Kampfrichter-Fachgebiete'!$A$2,'Kampfrichter-Lizenzen'!$A$8,"?"))</f>
        <v/>
      </c>
      <c r="J27" s="161" t="str">
        <f t="shared" si="0"/>
        <v/>
      </c>
    </row>
    <row r="28" spans="1:10" ht="15">
      <c r="A28" s="63"/>
      <c r="B28" s="63"/>
      <c r="C28" s="63"/>
      <c r="D28" s="62"/>
      <c r="E28" s="63"/>
      <c r="F28" s="63"/>
      <c r="G28" s="63"/>
      <c r="H28" s="63"/>
      <c r="I28" s="62" t="str">
        <f>IF(OR(ISBLANK(A28),ISBLANK(B28),ISBLANK(H28)),"",IF(H28='Kampfrichter-Fachgebiete'!$A$2,'Kampfrichter-Lizenzen'!$A$8,"?"))</f>
        <v/>
      </c>
      <c r="J28" s="161" t="str">
        <f t="shared" si="0"/>
        <v/>
      </c>
    </row>
    <row r="29" spans="1:10" ht="15">
      <c r="A29" s="63"/>
      <c r="B29" s="63"/>
      <c r="C29" s="63"/>
      <c r="D29" s="62"/>
      <c r="E29" s="63"/>
      <c r="F29" s="63"/>
      <c r="G29" s="63"/>
      <c r="H29" s="63"/>
      <c r="I29" s="62" t="str">
        <f>IF(OR(ISBLANK(A29),ISBLANK(B29),ISBLANK(H29)),"",IF(H29='Kampfrichter-Fachgebiete'!$A$2,'Kampfrichter-Lizenzen'!$A$8,"?"))</f>
        <v/>
      </c>
      <c r="J29" s="161" t="str">
        <f t="shared" si="0"/>
        <v/>
      </c>
    </row>
    <row r="30" spans="1:10" ht="15">
      <c r="A30" s="63"/>
      <c r="B30" s="63"/>
      <c r="C30" s="63"/>
      <c r="D30" s="62"/>
      <c r="E30" s="63"/>
      <c r="F30" s="63"/>
      <c r="G30" s="63"/>
      <c r="H30" s="63"/>
      <c r="I30" s="62" t="str">
        <f>IF(OR(ISBLANK(A30),ISBLANK(B30),ISBLANK(H30)),"",IF(H30='Kampfrichter-Fachgebiete'!$A$2,'Kampfrichter-Lizenzen'!$A$8,"?"))</f>
        <v/>
      </c>
      <c r="J30" s="161" t="str">
        <f t="shared" si="0"/>
        <v/>
      </c>
    </row>
    <row r="31" spans="1:10" ht="15">
      <c r="A31" s="63"/>
      <c r="B31" s="63"/>
      <c r="C31" s="63"/>
      <c r="D31" s="62"/>
      <c r="E31" s="63"/>
      <c r="F31" s="63"/>
      <c r="G31" s="63"/>
      <c r="H31" s="63"/>
      <c r="I31" s="62" t="str">
        <f>IF(OR(ISBLANK(A31),ISBLANK(B31),ISBLANK(H31)),"",IF(H31='Kampfrichter-Fachgebiete'!$A$2,'Kampfrichter-Lizenzen'!$A$8,"?"))</f>
        <v/>
      </c>
      <c r="J31" s="161" t="str">
        <f t="shared" si="0"/>
        <v/>
      </c>
    </row>
    <row r="32" spans="1:10" ht="15">
      <c r="A32" s="63"/>
      <c r="B32" s="63"/>
      <c r="C32" s="63"/>
      <c r="D32" s="62"/>
      <c r="E32" s="63"/>
      <c r="F32" s="63"/>
      <c r="G32" s="63"/>
      <c r="H32" s="63"/>
      <c r="I32" s="62" t="str">
        <f>IF(OR(ISBLANK(A32),ISBLANK(B32),ISBLANK(H32)),"",IF(H32='Kampfrichter-Fachgebiete'!$A$2,'Kampfrichter-Lizenzen'!$A$8,"?"))</f>
        <v/>
      </c>
      <c r="J32" s="161" t="str">
        <f t="shared" si="0"/>
        <v/>
      </c>
    </row>
    <row r="33" spans="1:10" ht="15">
      <c r="A33" s="63"/>
      <c r="B33" s="63"/>
      <c r="C33" s="63"/>
      <c r="D33" s="62"/>
      <c r="E33" s="63"/>
      <c r="F33" s="63"/>
      <c r="G33" s="63"/>
      <c r="H33" s="63"/>
      <c r="I33" s="62" t="str">
        <f>IF(OR(ISBLANK(A33),ISBLANK(B33),ISBLANK(H33)),"",IF(H33='Kampfrichter-Fachgebiete'!$A$2,'Kampfrichter-Lizenzen'!$A$8,"?"))</f>
        <v/>
      </c>
      <c r="J33" s="161" t="str">
        <f t="shared" si="0"/>
        <v/>
      </c>
    </row>
    <row r="34" spans="1:10" ht="15">
      <c r="A34" s="63"/>
      <c r="B34" s="63"/>
      <c r="C34" s="63"/>
      <c r="D34" s="62"/>
      <c r="E34" s="63"/>
      <c r="F34" s="63"/>
      <c r="G34" s="63"/>
      <c r="H34" s="63"/>
      <c r="I34" s="62" t="str">
        <f>IF(OR(ISBLANK(A34),ISBLANK(B34),ISBLANK(H34)),"",IF(H34='Kampfrichter-Fachgebiete'!$A$2,'Kampfrichter-Lizenzen'!$A$8,"?"))</f>
        <v/>
      </c>
      <c r="J34" s="161" t="str">
        <f t="shared" si="0"/>
        <v/>
      </c>
    </row>
    <row r="35" spans="1:10" ht="15">
      <c r="A35" s="63"/>
      <c r="B35" s="63"/>
      <c r="C35" s="63"/>
      <c r="D35" s="62"/>
      <c r="E35" s="63"/>
      <c r="F35" s="63"/>
      <c r="G35" s="63"/>
      <c r="H35" s="63"/>
      <c r="I35" s="62" t="str">
        <f>IF(OR(ISBLANK(A35),ISBLANK(B35),ISBLANK(H35)),"",IF(H35='Kampfrichter-Fachgebiete'!$A$2,'Kampfrichter-Lizenzen'!$A$8,"?"))</f>
        <v/>
      </c>
      <c r="J35" s="161" t="str">
        <f t="shared" si="0"/>
        <v/>
      </c>
    </row>
    <row r="36" spans="1:10" ht="15">
      <c r="A36" s="63"/>
      <c r="B36" s="63"/>
      <c r="C36" s="63"/>
      <c r="D36" s="62"/>
      <c r="E36" s="63"/>
      <c r="F36" s="63"/>
      <c r="G36" s="63"/>
      <c r="H36" s="63"/>
      <c r="I36" s="62" t="str">
        <f>IF(OR(ISBLANK(A36),ISBLANK(B36),ISBLANK(H36)),"",IF(H36='Kampfrichter-Fachgebiete'!$A$2,'Kampfrichter-Lizenzen'!$A$8,"?"))</f>
        <v/>
      </c>
      <c r="J36" s="161" t="str">
        <f t="shared" si="0"/>
        <v/>
      </c>
    </row>
    <row r="37" spans="1:10" ht="15">
      <c r="A37" s="63"/>
      <c r="B37" s="63"/>
      <c r="C37" s="63"/>
      <c r="D37" s="62"/>
      <c r="E37" s="63"/>
      <c r="F37" s="63"/>
      <c r="G37" s="63"/>
      <c r="H37" s="63"/>
      <c r="I37" s="62" t="str">
        <f>IF(OR(ISBLANK(A37),ISBLANK(B37),ISBLANK(H37)),"",IF(H37='Kampfrichter-Fachgebiete'!$A$2,'Kampfrichter-Lizenzen'!$A$8,"?"))</f>
        <v/>
      </c>
      <c r="J37" s="161" t="str">
        <f t="shared" si="0"/>
        <v/>
      </c>
    </row>
    <row r="38" spans="1:10" ht="15">
      <c r="A38" s="63"/>
      <c r="B38" s="63"/>
      <c r="C38" s="63"/>
      <c r="D38" s="62"/>
      <c r="E38" s="63"/>
      <c r="F38" s="63"/>
      <c r="G38" s="63"/>
      <c r="H38" s="63"/>
      <c r="I38" s="62" t="str">
        <f>IF(OR(ISBLANK(A38),ISBLANK(B38),ISBLANK(H38)),"",IF(H38='Kampfrichter-Fachgebiete'!$A$2,'Kampfrichter-Lizenzen'!$A$8,"?"))</f>
        <v/>
      </c>
      <c r="J38" s="161" t="str">
        <f t="shared" si="0"/>
        <v/>
      </c>
    </row>
    <row r="39" spans="1:10" ht="15">
      <c r="A39" s="63"/>
      <c r="B39" s="63"/>
      <c r="C39" s="63"/>
      <c r="D39" s="62"/>
      <c r="E39" s="63"/>
      <c r="F39" s="63"/>
      <c r="G39" s="63"/>
      <c r="H39" s="63"/>
      <c r="I39" s="62" t="str">
        <f>IF(OR(ISBLANK(A39),ISBLANK(B39),ISBLANK(H39)),"",IF(H39='Kampfrichter-Fachgebiete'!$A$2,'Kampfrichter-Lizenzen'!$A$8,"?"))</f>
        <v/>
      </c>
      <c r="J39" s="161" t="str">
        <f t="shared" si="0"/>
        <v/>
      </c>
    </row>
    <row r="40" spans="1:10" ht="15">
      <c r="A40" s="63"/>
      <c r="B40" s="63"/>
      <c r="C40" s="63"/>
      <c r="D40" s="62"/>
      <c r="E40" s="63"/>
      <c r="F40" s="63"/>
      <c r="G40" s="63"/>
      <c r="H40" s="63"/>
      <c r="I40" s="62" t="str">
        <f>IF(OR(ISBLANK(A40),ISBLANK(B40),ISBLANK(H40)),"",IF(H40='Kampfrichter-Fachgebiete'!$A$2,'Kampfrichter-Lizenzen'!$A$8,"?"))</f>
        <v/>
      </c>
      <c r="J40" s="161" t="str">
        <f t="shared" si="0"/>
        <v/>
      </c>
    </row>
    <row r="41" spans="1:10" ht="15">
      <c r="A41" s="63"/>
      <c r="B41" s="63"/>
      <c r="C41" s="63"/>
      <c r="D41" s="62"/>
      <c r="E41" s="63"/>
      <c r="F41" s="63"/>
      <c r="G41" s="63"/>
      <c r="H41" s="63"/>
      <c r="I41" s="62" t="str">
        <f>IF(OR(ISBLANK(A41),ISBLANK(B41),ISBLANK(H41)),"",IF(H41='Kampfrichter-Fachgebiete'!$A$2,'Kampfrichter-Lizenzen'!$A$8,"?"))</f>
        <v/>
      </c>
      <c r="J41" s="161" t="str">
        <f t="shared" si="0"/>
        <v/>
      </c>
    </row>
    <row r="42" spans="1:10" ht="15">
      <c r="A42" s="63"/>
      <c r="B42" s="63"/>
      <c r="C42" s="63"/>
      <c r="D42" s="62"/>
      <c r="E42" s="63"/>
      <c r="F42" s="63"/>
      <c r="G42" s="63"/>
      <c r="H42" s="63"/>
      <c r="I42" s="62" t="str">
        <f>IF(OR(ISBLANK(A42),ISBLANK(B42),ISBLANK(H42)),"",IF(H42='Kampfrichter-Fachgebiete'!$A$2,'Kampfrichter-Lizenzen'!$A$8,"?"))</f>
        <v/>
      </c>
      <c r="J42" s="161" t="str">
        <f t="shared" si="0"/>
        <v/>
      </c>
    </row>
    <row r="43" spans="1:10" ht="15">
      <c r="A43" s="63"/>
      <c r="B43" s="63"/>
      <c r="C43" s="63"/>
      <c r="D43" s="62"/>
      <c r="E43" s="63"/>
      <c r="F43" s="63"/>
      <c r="G43" s="63"/>
      <c r="H43" s="63"/>
      <c r="I43" s="62" t="str">
        <f>IF(OR(ISBLANK(A43),ISBLANK(B43),ISBLANK(H43)),"",IF(H43='Kampfrichter-Fachgebiete'!$A$2,'Kampfrichter-Lizenzen'!$A$8,"?"))</f>
        <v/>
      </c>
      <c r="J43" s="161" t="str">
        <f t="shared" si="0"/>
        <v/>
      </c>
    </row>
    <row r="44" spans="1:10" ht="15">
      <c r="A44" s="63"/>
      <c r="B44" s="63"/>
      <c r="C44" s="63"/>
      <c r="D44" s="62"/>
      <c r="E44" s="63"/>
      <c r="F44" s="63"/>
      <c r="G44" s="63"/>
      <c r="H44" s="63"/>
      <c r="I44" s="62" t="str">
        <f>IF(OR(ISBLANK(A44),ISBLANK(B44),ISBLANK(H44)),"",IF(H44='Kampfrichter-Fachgebiete'!$A$2,'Kampfrichter-Lizenzen'!$A$8,"?"))</f>
        <v/>
      </c>
      <c r="J44" s="161" t="str">
        <f t="shared" si="0"/>
        <v/>
      </c>
    </row>
    <row r="45" spans="1:10" ht="15">
      <c r="A45" s="63"/>
      <c r="B45" s="63"/>
      <c r="C45" s="63"/>
      <c r="D45" s="62"/>
      <c r="E45" s="63"/>
      <c r="F45" s="63"/>
      <c r="G45" s="63"/>
      <c r="H45" s="63"/>
      <c r="I45" s="62" t="str">
        <f>IF(OR(ISBLANK(A45),ISBLANK(B45),ISBLANK(H45)),"",IF(H45='Kampfrichter-Fachgebiete'!$A$2,'Kampfrichter-Lizenzen'!$A$8,"?"))</f>
        <v/>
      </c>
      <c r="J45" s="161" t="str">
        <f t="shared" si="0"/>
        <v/>
      </c>
    </row>
    <row r="46" spans="1:10" ht="15">
      <c r="A46" s="63"/>
      <c r="B46" s="63"/>
      <c r="C46" s="63"/>
      <c r="D46" s="62"/>
      <c r="E46" s="63"/>
      <c r="F46" s="63"/>
      <c r="G46" s="63"/>
      <c r="H46" s="63"/>
      <c r="I46" s="62" t="str">
        <f>IF(OR(ISBLANK(A46),ISBLANK(B46),ISBLANK(H46)),"",IF(H46='Kampfrichter-Fachgebiete'!$A$2,'Kampfrichter-Lizenzen'!$A$8,"?"))</f>
        <v/>
      </c>
      <c r="J46" s="161" t="str">
        <f t="shared" si="0"/>
        <v/>
      </c>
    </row>
    <row r="47" spans="1:10" ht="15">
      <c r="A47" s="63"/>
      <c r="B47" s="63"/>
      <c r="C47" s="63"/>
      <c r="D47" s="62"/>
      <c r="E47" s="63"/>
      <c r="F47" s="63"/>
      <c r="G47" s="63"/>
      <c r="H47" s="63"/>
      <c r="I47" s="62" t="str">
        <f>IF(OR(ISBLANK(A47),ISBLANK(B47),ISBLANK(H47)),"",IF(H47='Kampfrichter-Fachgebiete'!$A$2,'Kampfrichter-Lizenzen'!$A$8,"?"))</f>
        <v/>
      </c>
      <c r="J47" s="161" t="str">
        <f t="shared" si="0"/>
        <v/>
      </c>
    </row>
    <row r="48" spans="1:10" ht="15">
      <c r="A48" s="63"/>
      <c r="B48" s="63"/>
      <c r="C48" s="63"/>
      <c r="D48" s="62"/>
      <c r="E48" s="63"/>
      <c r="F48" s="63"/>
      <c r="G48" s="63"/>
      <c r="H48" s="63"/>
      <c r="I48" s="62" t="str">
        <f>IF(OR(ISBLANK(A48),ISBLANK(B48),ISBLANK(H48)),"",IF(H48='Kampfrichter-Fachgebiete'!$A$2,'Kampfrichter-Lizenzen'!$A$8,"?"))</f>
        <v/>
      </c>
      <c r="J48" s="161" t="str">
        <f t="shared" si="0"/>
        <v/>
      </c>
    </row>
    <row r="49" spans="1:10" ht="15">
      <c r="A49" s="63"/>
      <c r="B49" s="63"/>
      <c r="C49" s="63"/>
      <c r="D49" s="62"/>
      <c r="E49" s="63"/>
      <c r="F49" s="63"/>
      <c r="G49" s="63"/>
      <c r="H49" s="63"/>
      <c r="I49" s="62" t="str">
        <f>IF(OR(ISBLANK(A49),ISBLANK(B49),ISBLANK(H49)),"",IF(H49='Kampfrichter-Fachgebiete'!$A$2,'Kampfrichter-Lizenzen'!$A$8,"?"))</f>
        <v/>
      </c>
      <c r="J49" s="161" t="str">
        <f t="shared" si="0"/>
        <v/>
      </c>
    </row>
    <row r="50" spans="1:10" ht="15">
      <c r="A50" s="63"/>
      <c r="B50" s="63"/>
      <c r="C50" s="63"/>
      <c r="D50" s="62"/>
      <c r="E50" s="63"/>
      <c r="F50" s="63"/>
      <c r="G50" s="63"/>
      <c r="H50" s="63"/>
      <c r="I50" s="62" t="str">
        <f>IF(OR(ISBLANK(A50),ISBLANK(B50),ISBLANK(H50)),"",IF(H50='Kampfrichter-Fachgebiete'!$A$2,'Kampfrichter-Lizenzen'!$A$8,"?"))</f>
        <v/>
      </c>
      <c r="J50" s="161" t="str">
        <f t="shared" si="0"/>
        <v/>
      </c>
    </row>
    <row r="51" spans="1:10" ht="15">
      <c r="A51" s="63"/>
      <c r="B51" s="63"/>
      <c r="C51" s="63"/>
      <c r="D51" s="62"/>
      <c r="E51" s="63"/>
      <c r="F51" s="63"/>
      <c r="G51" s="63"/>
      <c r="H51" s="63"/>
      <c r="I51" s="62" t="str">
        <f>IF(OR(ISBLANK(A51),ISBLANK(B51),ISBLANK(H51)),"",IF(H51='Kampfrichter-Fachgebiete'!$A$2,'Kampfrichter-Lizenzen'!$A$8,"?"))</f>
        <v/>
      </c>
      <c r="J51" s="161" t="str">
        <f t="shared" si="0"/>
        <v/>
      </c>
    </row>
    <row r="52" spans="1:10" ht="15">
      <c r="A52" s="63"/>
      <c r="B52" s="63"/>
      <c r="C52" s="63"/>
      <c r="D52" s="62"/>
      <c r="E52" s="63"/>
      <c r="F52" s="63"/>
      <c r="G52" s="63"/>
      <c r="H52" s="63"/>
      <c r="I52" s="62" t="str">
        <f>IF(OR(ISBLANK(A52),ISBLANK(B52),ISBLANK(H52)),"",IF(H52='Kampfrichter-Fachgebiete'!$A$2,'Kampfrichter-Lizenzen'!$A$8,"?"))</f>
        <v/>
      </c>
      <c r="J52" s="161" t="str">
        <f t="shared" si="0"/>
        <v/>
      </c>
    </row>
    <row r="53" spans="1:10" ht="15">
      <c r="A53" s="63"/>
      <c r="B53" s="63"/>
      <c r="C53" s="63"/>
      <c r="D53" s="62"/>
      <c r="E53" s="63"/>
      <c r="F53" s="63"/>
      <c r="G53" s="63"/>
      <c r="H53" s="63"/>
      <c r="I53" s="62" t="str">
        <f>IF(OR(ISBLANK(A53),ISBLANK(B53),ISBLANK(H53)),"",IF(H53='Kampfrichter-Fachgebiete'!$A$2,'Kampfrichter-Lizenzen'!$A$8,"?"))</f>
        <v/>
      </c>
      <c r="J53" s="161" t="str">
        <f t="shared" si="0"/>
        <v/>
      </c>
    </row>
    <row r="54" spans="1:10" ht="15">
      <c r="A54" s="63"/>
      <c r="B54" s="63"/>
      <c r="C54" s="63"/>
      <c r="D54" s="62"/>
      <c r="E54" s="63"/>
      <c r="F54" s="63"/>
      <c r="G54" s="63"/>
      <c r="H54" s="63"/>
      <c r="I54" s="62" t="str">
        <f>IF(OR(ISBLANK(A54),ISBLANK(B54),ISBLANK(H54)),"",IF(H54='Kampfrichter-Fachgebiete'!$A$2,'Kampfrichter-Lizenzen'!$A$8,"?"))</f>
        <v/>
      </c>
      <c r="J54" s="161" t="str">
        <f t="shared" si="0"/>
        <v/>
      </c>
    </row>
    <row r="55" spans="1:10" ht="15">
      <c r="A55" s="65"/>
      <c r="B55" s="65"/>
      <c r="C55" s="65"/>
      <c r="D55" s="64"/>
      <c r="E55" s="65"/>
      <c r="F55" s="65"/>
      <c r="G55" s="65"/>
      <c r="H55" s="65"/>
      <c r="I55" s="64" t="str">
        <f>IF(OR(ISBLANK(A55),ISBLANK(B55),ISBLANK(H55)),"",IF(H55='Kampfrichter-Fachgebiete'!$A$2,'Kampfrichter-Lizenzen'!$A$8,"?"))</f>
        <v/>
      </c>
      <c r="J55" s="161" t="str">
        <f t="shared" si="0"/>
        <v/>
      </c>
    </row>
    <row r="56" spans="1:10">
      <c r="G56" s="168" t="s">
        <v>149</v>
      </c>
      <c r="H56" s="33">
        <f>COUNTIF(H17:H55,'Kampfrichter-Fachgebiete'!A2)</f>
        <v>0</v>
      </c>
    </row>
    <row r="57" spans="1:10">
      <c r="G57" s="168" t="s">
        <v>282</v>
      </c>
      <c r="H57" s="33">
        <f>COUNTIF(H17:H55,'Kampfrichter-Fachgebiete'!A6)</f>
        <v>0</v>
      </c>
    </row>
    <row r="58" spans="1:10">
      <c r="G58" s="168" t="s">
        <v>333</v>
      </c>
      <c r="H58" s="33">
        <f>COUNTIF(H17:H55,'Kampfrichter-Fachgebiete'!A8)</f>
        <v>0</v>
      </c>
    </row>
    <row r="59" spans="1:10">
      <c r="G59" s="168" t="s">
        <v>617</v>
      </c>
      <c r="H59" s="33">
        <f>COUNTIF(H17:H55,'Kampfrichter-Fachgebiete'!A3)</f>
        <v>0</v>
      </c>
    </row>
    <row r="60" spans="1:10">
      <c r="G60" s="168" t="s">
        <v>658</v>
      </c>
      <c r="H60" s="33">
        <f>ROW(H56)-ROW(H17)-COUNTIF(H17:H55,"")-H56-H57-H58-H59</f>
        <v>0</v>
      </c>
    </row>
  </sheetData>
  <sheetProtection password="C04C" sheet="1" objects="1" scenarios="1" selectLockedCells="1"/>
  <dataConsolidate/>
  <phoneticPr fontId="3" type="noConversion"/>
  <dataValidations xWindow="872" yWindow="171" count="2">
    <dataValidation type="list" allowBlank="1" showInputMessage="1" showErrorMessage="1" errorTitle="Kampfrichter" error="Wählen Sie das Fachgebiet aus, für das die Kampfrichter-Lizenz gilt" promptTitle="Kampfrichter-Lizenz" prompt="Wählen Sie aus der Liste (Öffnen Sie die Liste durch Klicken auf den Button mit dem schwarzen Dreieck) das Fachgebiet aus, für das die Kampfrichter-Lizenz gilt. " sqref="H17:H55">
      <formula1>Kampfrichter_Fachgebietsliste</formula1>
    </dataValidation>
    <dataValidation type="list" allowBlank="1" showInputMessage="1" showErrorMessage="1" promptTitle="Kampfrichter-Lizenz" prompt="Wählen Sie die Lizenzstufe (I: International, A: Bund, B: Land, C: Gau-Kür, D: Gau-Pflicht) der Kampfrichterlizenz aus" sqref="I17:I55">
      <formula1>Kampfrichterlizenzliste</formula1>
    </dataValidation>
  </dataValidations>
  <pageMargins left="0.78740157499999996" right="0.78740157499999996" top="0.984251969" bottom="0.984251969" header="0.4921259845" footer="0.4921259845"/>
  <pageSetup paperSize="9" scale="70" orientation="portrait" r:id="rId1"/>
  <headerFooter alignWithMargins="0">
    <oddHeader>&amp;R&amp;A</oddHeader>
    <oddFooter>&amp;L&amp;D&amp;T&amp;R&amp;F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X85"/>
  <sheetViews>
    <sheetView zoomScaleNormal="100" zoomScaleSheetLayoutView="100" workbookViewId="0"/>
  </sheetViews>
  <sheetFormatPr baseColWidth="10" defaultRowHeight="12.75"/>
  <cols>
    <col min="1" max="1" width="10.5703125" style="66" customWidth="1"/>
    <col min="2" max="2" width="75.42578125" customWidth="1"/>
    <col min="3" max="3" width="13.42578125" style="66" bestFit="1" customWidth="1"/>
    <col min="4" max="5" width="10" style="66" hidden="1" customWidth="1"/>
    <col min="6" max="6" width="7.5703125" style="66" hidden="1" customWidth="1"/>
    <col min="7" max="7" width="8.28515625" style="66" hidden="1" customWidth="1"/>
    <col min="8" max="8" width="5.5703125" style="66" hidden="1" customWidth="1"/>
    <col min="9" max="9" width="12.42578125" customWidth="1"/>
    <col min="10" max="11" width="10" style="92" hidden="1" customWidth="1"/>
    <col min="12" max="12" width="5.85546875" style="92" hidden="1" customWidth="1"/>
    <col min="13" max="13" width="8.28515625" style="66" hidden="1" customWidth="1"/>
    <col min="14" max="14" width="10" hidden="1" customWidth="1"/>
    <col min="19" max="19" width="7.140625" customWidth="1"/>
    <col min="20" max="20" width="6.85546875" customWidth="1"/>
    <col min="21" max="21" width="9.140625" bestFit="1" customWidth="1"/>
    <col min="22" max="23" width="11.42578125" style="66"/>
  </cols>
  <sheetData>
    <row r="1" spans="1:23" ht="18">
      <c r="A1" s="91" t="str">
        <f>"Anmeldungsübersicht" &amp; IF(ISTEXT(Deckblatt!C24)," für " &amp; Deckblatt!C24,"")</f>
        <v>Anmeldungsübersicht</v>
      </c>
    </row>
    <row r="2" spans="1:23" s="17" customFormat="1">
      <c r="A2" s="146"/>
      <c r="J2" s="92"/>
      <c r="K2" s="92"/>
      <c r="L2" s="92"/>
      <c r="M2" s="93"/>
      <c r="V2" s="93"/>
      <c r="W2" s="93"/>
    </row>
    <row r="3" spans="1:23" s="95" customFormat="1" ht="12">
      <c r="A3" s="94" t="s">
        <v>46</v>
      </c>
      <c r="C3" s="96" t="s">
        <v>320</v>
      </c>
      <c r="D3" s="96"/>
      <c r="E3" s="96"/>
      <c r="F3" s="96"/>
      <c r="G3" s="96"/>
      <c r="H3" s="96"/>
      <c r="J3" s="97"/>
      <c r="K3" s="97"/>
      <c r="L3" s="97"/>
      <c r="M3" s="96"/>
      <c r="V3" s="96"/>
      <c r="W3" s="96"/>
    </row>
    <row r="4" spans="1:23" s="95" customFormat="1" ht="12">
      <c r="A4" s="94" t="s">
        <v>47</v>
      </c>
      <c r="B4" s="196"/>
      <c r="C4" s="96">
        <f>ROW(A46)-ROW(A6)</f>
        <v>40</v>
      </c>
      <c r="D4" s="96"/>
      <c r="E4" s="96"/>
      <c r="F4" s="96"/>
      <c r="G4" s="96"/>
      <c r="H4" s="96"/>
      <c r="I4" s="95" t="s">
        <v>294</v>
      </c>
      <c r="J4" s="97"/>
      <c r="K4" s="97"/>
      <c r="L4" s="97"/>
      <c r="M4" s="96"/>
      <c r="V4" s="96"/>
      <c r="W4" s="96"/>
    </row>
    <row r="5" spans="1:23">
      <c r="C5" s="66" t="str">
        <f>IF(C4&lt;MAX('WK-Vorlagen'!J:J),"Zeilen für Wettkämpfe einfügen !","-")</f>
        <v>-</v>
      </c>
    </row>
    <row r="6" spans="1:23" s="271" customFormat="1" ht="26.25" customHeight="1">
      <c r="A6" s="276" t="s">
        <v>216</v>
      </c>
      <c r="B6" s="277" t="s">
        <v>48</v>
      </c>
      <c r="C6" s="276" t="s">
        <v>206</v>
      </c>
      <c r="D6" s="278" t="s">
        <v>49</v>
      </c>
      <c r="E6" s="326" t="s">
        <v>50</v>
      </c>
      <c r="F6" s="326"/>
      <c r="G6" s="327" t="s">
        <v>51</v>
      </c>
      <c r="H6" s="328"/>
      <c r="I6" s="276" t="s">
        <v>52</v>
      </c>
      <c r="J6" s="278" t="s">
        <v>49</v>
      </c>
      <c r="K6" s="326" t="s">
        <v>50</v>
      </c>
      <c r="L6" s="326"/>
      <c r="M6" s="327" t="s">
        <v>51</v>
      </c>
      <c r="N6" s="328"/>
      <c r="O6" s="276" t="s">
        <v>329</v>
      </c>
      <c r="P6" s="276" t="s">
        <v>330</v>
      </c>
      <c r="Q6" s="276" t="s">
        <v>487</v>
      </c>
      <c r="R6" s="276" t="s">
        <v>531</v>
      </c>
      <c r="S6" s="276" t="s">
        <v>535</v>
      </c>
      <c r="T6" s="276" t="s">
        <v>536</v>
      </c>
      <c r="U6" s="279" t="s">
        <v>540</v>
      </c>
      <c r="V6" s="279" t="s">
        <v>538</v>
      </c>
      <c r="W6" s="279" t="s">
        <v>537</v>
      </c>
    </row>
    <row r="7" spans="1:23">
      <c r="A7" s="115" t="str">
        <f>IF((A6="ENDE")+(A6="---")+(Deckblatt!$C$14=""),"---",LOOKUP(CONCATENATE(Deckblatt!$C$14,"-",Q7),'WK-Vorlagen'!B:B,'WK-Vorlagen'!C:C))</f>
        <v>---</v>
      </c>
      <c r="B7" s="31" t="str">
        <f>IF((A7="ENDE")+(A7="---"),"---",LOOKUP(CONCATENATE(Deckblatt!$C$14,"-",Q7),'WK-Vorlagen'!B:B,'WK-Vorlagen'!D:D))</f>
        <v>---</v>
      </c>
      <c r="C7" s="100">
        <f>COUNTIF(Teilnehmer!$E$4:$E$999,A7)</f>
        <v>0</v>
      </c>
      <c r="D7" s="151">
        <v>0</v>
      </c>
      <c r="E7" s="101" t="b">
        <v>0</v>
      </c>
      <c r="F7" s="102">
        <f>IF(E7,C7,0)</f>
        <v>0</v>
      </c>
      <c r="G7" s="103" t="b">
        <v>0</v>
      </c>
      <c r="H7" s="102">
        <f>IF(G7,C7,0)</f>
        <v>0</v>
      </c>
      <c r="I7" s="100">
        <f>COUNTIF(Mannschaften!$B$5:$B$54,A7)</f>
        <v>0</v>
      </c>
      <c r="J7" s="151">
        <v>0</v>
      </c>
      <c r="K7" s="101" t="b">
        <v>0</v>
      </c>
      <c r="L7" s="102">
        <f>IF(K7,I7,0)</f>
        <v>0</v>
      </c>
      <c r="M7" s="103" t="b">
        <v>0</v>
      </c>
      <c r="N7" s="102">
        <f>IF(M7,I7,0)</f>
        <v>0</v>
      </c>
      <c r="O7" s="115" t="str">
        <f>IF((A7="ENDE")+(A7="---"),"---",LOOKUP(CONCATENATE(Deckblatt!$C$14,"-",Q7),'WK-Vorlagen'!B:B,'WK-Vorlagen'!H:H))</f>
        <v>---</v>
      </c>
      <c r="P7" s="115" t="str">
        <f>IF((A7="ENDE")+(A7="---"),"---",LOOKUP(CONCATENATE(Deckblatt!$C$14,"-",Q7),'WK-Vorlagen'!B:B,'WK-Vorlagen'!I:I))</f>
        <v>---</v>
      </c>
      <c r="Q7" s="234" t="s">
        <v>450</v>
      </c>
      <c r="R7" s="274" t="str">
        <f>IF((A7="ENDE")+(A7="---"),"---",IF(LOOKUP(CONCATENATE(Deckblatt!$C$14,"-",Q7),'WK-Vorlagen'!B:B,'WK-Vorlagen'!E:E)=0,"-",1))</f>
        <v>---</v>
      </c>
      <c r="S7" s="66" t="str">
        <f>IF((A7="ENDE")+(A7="---"),"---",IF(LOOKUP(CONCATENATE(Deckblatt!$C$14,"-",Q7),'WK-Vorlagen'!B:B,'WK-Vorlagen'!F:F)=0,"-",1))</f>
        <v>---</v>
      </c>
      <c r="T7" s="66" t="str">
        <f>IF((A7="ENDE")+(A7="---"),"---",IF(LOOKUP(CONCATENATE(Deckblatt!$C$14,"-",Q7),'WK-Vorlagen'!B:B,'WK-Vorlagen'!G:G)=0,"-",1))</f>
        <v>---</v>
      </c>
      <c r="U7" s="66">
        <f>IF(ISNUMBER(R7),I7*R7,0)</f>
        <v>0</v>
      </c>
      <c r="V7" s="66">
        <f>IF(ISNUMBER(S7),C7*S7,0)</f>
        <v>0</v>
      </c>
      <c r="W7" s="66">
        <f>IF(ISNUMBER(T7),C7*T7,0)</f>
        <v>0</v>
      </c>
    </row>
    <row r="8" spans="1:23">
      <c r="A8" s="115" t="str">
        <f>IF((A7="ENDE")+(A7="---")+(Deckblatt!$C$14=""),"---",LOOKUP(CONCATENATE(Deckblatt!$C$14,"-",Q8),'WK-Vorlagen'!B:B,'WK-Vorlagen'!C:C))</f>
        <v>---</v>
      </c>
      <c r="B8" s="31" t="str">
        <f>IF((A8="ENDE")+(A8="---"),"---",LOOKUP(CONCATENATE(Deckblatt!$C$14,"-",Q8),'WK-Vorlagen'!B:B,'WK-Vorlagen'!D:D))</f>
        <v>---</v>
      </c>
      <c r="C8" s="100">
        <f>COUNTIF(Teilnehmer!$E$4:$E$999,A8)</f>
        <v>0</v>
      </c>
      <c r="D8" s="151">
        <v>0</v>
      </c>
      <c r="E8" s="101" t="b">
        <v>0</v>
      </c>
      <c r="F8" s="102">
        <f t="shared" ref="F8:F46" si="0">IF(E8,C8,0)</f>
        <v>0</v>
      </c>
      <c r="G8" s="103" t="b">
        <v>0</v>
      </c>
      <c r="H8" s="102">
        <f t="shared" ref="H8:H46" si="1">IF(G8,C8,0)</f>
        <v>0</v>
      </c>
      <c r="I8" s="100">
        <f>COUNTIF(Mannschaften!$B$5:$B$54,A8)</f>
        <v>0</v>
      </c>
      <c r="J8" s="151">
        <v>0</v>
      </c>
      <c r="K8" s="101" t="b">
        <v>0</v>
      </c>
      <c r="L8" s="102">
        <f t="shared" ref="L8:L46" si="2">IF(K8,I8,0)</f>
        <v>0</v>
      </c>
      <c r="M8" s="103" t="b">
        <v>0</v>
      </c>
      <c r="N8" s="102">
        <f t="shared" ref="N8:N46" si="3">IF(M8,I8,0)</f>
        <v>0</v>
      </c>
      <c r="O8" s="66" t="str">
        <f>IF((A8="ENDE")+(A8="---"),"---",LOOKUP(CONCATENATE(Deckblatt!$C$14,"-",Q8),'WK-Vorlagen'!B:B,'WK-Vorlagen'!H:H))</f>
        <v>---</v>
      </c>
      <c r="P8" s="66" t="str">
        <f>IF((A8="ENDE")+(A8="---"),"---",LOOKUP(CONCATENATE(Deckblatt!$C$14,"-",Q8),'WK-Vorlagen'!B:B,'WK-Vorlagen'!I:I))</f>
        <v>---</v>
      </c>
      <c r="Q8" s="234" t="s">
        <v>451</v>
      </c>
      <c r="R8" s="274" t="str">
        <f>IF((A8="ENDE")+(A8="---"),"---",IF(LOOKUP(CONCATENATE(Deckblatt!$C$14,"-",Q8),'WK-Vorlagen'!B:B,'WK-Vorlagen'!E:E)=0,"-",1))</f>
        <v>---</v>
      </c>
      <c r="S8" s="66" t="str">
        <f>IF((A8="ENDE")+(A8="---"),"---",IF(LOOKUP(CONCATENATE(Deckblatt!$C$14,"-",Q8),'WK-Vorlagen'!B:B,'WK-Vorlagen'!F:F)=0,"-",1))</f>
        <v>---</v>
      </c>
      <c r="T8" s="66" t="str">
        <f>IF((A8="ENDE")+(A8="---"),"---",IF(LOOKUP(CONCATENATE(Deckblatt!$C$14,"-",Q8),'WK-Vorlagen'!B:B,'WK-Vorlagen'!G:G)=0,"-",1))</f>
        <v>---</v>
      </c>
      <c r="U8" s="66">
        <f t="shared" ref="U8:U46" si="4">IF(ISNUMBER(R8),I8*R8,0)</f>
        <v>0</v>
      </c>
      <c r="V8" s="66">
        <f t="shared" ref="V8:V46" si="5">IF(ISNUMBER(S8),C8*S8,0)</f>
        <v>0</v>
      </c>
      <c r="W8" s="66">
        <f t="shared" ref="W8:W46" si="6">IF(ISNUMBER(T8),C8*T8,0)</f>
        <v>0</v>
      </c>
    </row>
    <row r="9" spans="1:23">
      <c r="A9" s="115" t="str">
        <f>IF((A8="ENDE")+(A8="---")+(Deckblatt!$C$14=""),"---",LOOKUP(CONCATENATE(Deckblatt!$C$14,"-",Q9),'WK-Vorlagen'!B:B,'WK-Vorlagen'!C:C))</f>
        <v>---</v>
      </c>
      <c r="B9" s="31" t="str">
        <f>IF((A9="ENDE")+(A9="---"),"---",LOOKUP(CONCATENATE(Deckblatt!$C$14,"-",Q9),'WK-Vorlagen'!B:B,'WK-Vorlagen'!D:D))</f>
        <v>---</v>
      </c>
      <c r="C9" s="100">
        <f>COUNTIF(Teilnehmer!$E$4:$E$999,A9)</f>
        <v>0</v>
      </c>
      <c r="D9" s="151">
        <v>0</v>
      </c>
      <c r="E9" s="101" t="b">
        <v>0</v>
      </c>
      <c r="F9" s="102">
        <f t="shared" si="0"/>
        <v>0</v>
      </c>
      <c r="G9" s="103" t="b">
        <v>0</v>
      </c>
      <c r="H9" s="102">
        <f t="shared" si="1"/>
        <v>0</v>
      </c>
      <c r="I9" s="100">
        <f>COUNTIF(Mannschaften!$B$5:$B$54,A9)</f>
        <v>0</v>
      </c>
      <c r="J9" s="151">
        <v>0</v>
      </c>
      <c r="K9" s="101" t="b">
        <v>0</v>
      </c>
      <c r="L9" s="102">
        <f t="shared" si="2"/>
        <v>0</v>
      </c>
      <c r="M9" s="103" t="b">
        <v>0</v>
      </c>
      <c r="N9" s="102">
        <f t="shared" si="3"/>
        <v>0</v>
      </c>
      <c r="O9" s="66" t="str">
        <f>IF((A9="ENDE")+(A9="---"),"---",LOOKUP(CONCATENATE(Deckblatt!$C$14,"-",Q9),'WK-Vorlagen'!B:B,'WK-Vorlagen'!H:H))</f>
        <v>---</v>
      </c>
      <c r="P9" s="66" t="str">
        <f>IF((A9="ENDE")+(A9="---"),"---",LOOKUP(CONCATENATE(Deckblatt!$C$14,"-",Q9),'WK-Vorlagen'!B:B,'WK-Vorlagen'!I:I))</f>
        <v>---</v>
      </c>
      <c r="Q9" s="234" t="s">
        <v>452</v>
      </c>
      <c r="R9" s="274" t="str">
        <f>IF((A9="ENDE")+(A9="---"),"---",IF(LOOKUP(CONCATENATE(Deckblatt!$C$14,"-",Q9),'WK-Vorlagen'!B:B,'WK-Vorlagen'!E:E)=0,"-",1))</f>
        <v>---</v>
      </c>
      <c r="S9" s="66" t="str">
        <f>IF((A9="ENDE")+(A9="---"),"---",IF(LOOKUP(CONCATENATE(Deckblatt!$C$14,"-",Q9),'WK-Vorlagen'!B:B,'WK-Vorlagen'!F:F)=0,"-",1))</f>
        <v>---</v>
      </c>
      <c r="T9" s="66" t="str">
        <f>IF((A9="ENDE")+(A9="---"),"---",IF(LOOKUP(CONCATENATE(Deckblatt!$C$14,"-",Q9),'WK-Vorlagen'!B:B,'WK-Vorlagen'!G:G)=0,"-",1))</f>
        <v>---</v>
      </c>
      <c r="U9" s="66">
        <f t="shared" si="4"/>
        <v>0</v>
      </c>
      <c r="V9" s="66">
        <f t="shared" si="5"/>
        <v>0</v>
      </c>
      <c r="W9" s="66">
        <f t="shared" si="6"/>
        <v>0</v>
      </c>
    </row>
    <row r="10" spans="1:23">
      <c r="A10" s="115" t="str">
        <f>IF((A9="ENDE")+(A9="---")+(Deckblatt!$C$14=""),"---",LOOKUP(CONCATENATE(Deckblatt!$C$14,"-",Q10),'WK-Vorlagen'!B:B,'WK-Vorlagen'!C:C))</f>
        <v>---</v>
      </c>
      <c r="B10" s="31" t="str">
        <f>IF((A10="ENDE")+(A10="---"),"---",LOOKUP(CONCATENATE(Deckblatt!$C$14,"-",Q10),'WK-Vorlagen'!B:B,'WK-Vorlagen'!D:D))</f>
        <v>---</v>
      </c>
      <c r="C10" s="100">
        <f>COUNTIF(Teilnehmer!$E$4:$E$999,A10)</f>
        <v>0</v>
      </c>
      <c r="D10" s="151">
        <v>0</v>
      </c>
      <c r="E10" s="101" t="b">
        <v>0</v>
      </c>
      <c r="F10" s="102">
        <f t="shared" si="0"/>
        <v>0</v>
      </c>
      <c r="G10" s="103" t="b">
        <v>0</v>
      </c>
      <c r="H10" s="102">
        <f t="shared" si="1"/>
        <v>0</v>
      </c>
      <c r="I10" s="100">
        <f>COUNTIF(Mannschaften!$B$5:$B$54,A10)</f>
        <v>0</v>
      </c>
      <c r="J10" s="151">
        <v>0</v>
      </c>
      <c r="K10" s="101" t="b">
        <v>0</v>
      </c>
      <c r="L10" s="102">
        <f t="shared" si="2"/>
        <v>0</v>
      </c>
      <c r="M10" s="103" t="b">
        <v>0</v>
      </c>
      <c r="N10" s="102">
        <f t="shared" si="3"/>
        <v>0</v>
      </c>
      <c r="O10" s="66" t="str">
        <f>IF((A10="ENDE")+(A10="---"),"---",LOOKUP(CONCATENATE(Deckblatt!$C$14,"-",Q10),'WK-Vorlagen'!B:B,'WK-Vorlagen'!H:H))</f>
        <v>---</v>
      </c>
      <c r="P10" s="66" t="str">
        <f>IF((A10="ENDE")+(A10="---"),"---",LOOKUP(CONCATENATE(Deckblatt!$C$14,"-",Q10),'WK-Vorlagen'!B:B,'WK-Vorlagen'!I:I))</f>
        <v>---</v>
      </c>
      <c r="Q10" s="234" t="s">
        <v>453</v>
      </c>
      <c r="R10" s="274" t="str">
        <f>IF((A10="ENDE")+(A10="---"),"---",IF(LOOKUP(CONCATENATE(Deckblatt!$C$14,"-",Q10),'WK-Vorlagen'!B:B,'WK-Vorlagen'!E:E)=0,"-",1))</f>
        <v>---</v>
      </c>
      <c r="S10" s="66" t="str">
        <f>IF((A10="ENDE")+(A10="---"),"---",IF(LOOKUP(CONCATENATE(Deckblatt!$C$14,"-",Q10),'WK-Vorlagen'!B:B,'WK-Vorlagen'!F:F)=0,"-",1))</f>
        <v>---</v>
      </c>
      <c r="T10" s="66" t="str">
        <f>IF((A10="ENDE")+(A10="---"),"---",IF(LOOKUP(CONCATENATE(Deckblatt!$C$14,"-",Q10),'WK-Vorlagen'!B:B,'WK-Vorlagen'!G:G)=0,"-",1))</f>
        <v>---</v>
      </c>
      <c r="U10" s="66">
        <f t="shared" si="4"/>
        <v>0</v>
      </c>
      <c r="V10" s="66">
        <f t="shared" si="5"/>
        <v>0</v>
      </c>
      <c r="W10" s="66">
        <f t="shared" si="6"/>
        <v>0</v>
      </c>
    </row>
    <row r="11" spans="1:23">
      <c r="A11" s="115" t="str">
        <f>IF((A10="ENDE")+(A10="---")+(Deckblatt!$C$14=""),"---",LOOKUP(CONCATENATE(Deckblatt!$C$14,"-",Q11),'WK-Vorlagen'!B:B,'WK-Vorlagen'!C:C))</f>
        <v>---</v>
      </c>
      <c r="B11" s="31" t="str">
        <f>IF((A11="ENDE")+(A11="---"),"---",LOOKUP(CONCATENATE(Deckblatt!$C$14,"-",Q11),'WK-Vorlagen'!B:B,'WK-Vorlagen'!D:D))</f>
        <v>---</v>
      </c>
      <c r="C11" s="100">
        <f>COUNTIF(Teilnehmer!$E$4:$E$999,A11)</f>
        <v>0</v>
      </c>
      <c r="D11" s="151">
        <v>0</v>
      </c>
      <c r="E11" s="101" t="b">
        <v>0</v>
      </c>
      <c r="F11" s="102">
        <f t="shared" si="0"/>
        <v>0</v>
      </c>
      <c r="G11" s="103" t="b">
        <v>0</v>
      </c>
      <c r="H11" s="102">
        <f t="shared" si="1"/>
        <v>0</v>
      </c>
      <c r="I11" s="100">
        <f>COUNTIF(Mannschaften!$B$5:$B$54,A11)</f>
        <v>0</v>
      </c>
      <c r="J11" s="151">
        <v>0</v>
      </c>
      <c r="K11" s="101" t="b">
        <v>0</v>
      </c>
      <c r="L11" s="102">
        <f t="shared" si="2"/>
        <v>0</v>
      </c>
      <c r="M11" s="103" t="b">
        <v>0</v>
      </c>
      <c r="N11" s="102">
        <f t="shared" si="3"/>
        <v>0</v>
      </c>
      <c r="O11" s="66" t="str">
        <f>IF((A11="ENDE")+(A11="---"),"---",LOOKUP(CONCATENATE(Deckblatt!$C$14,"-",Q11),'WK-Vorlagen'!B:B,'WK-Vorlagen'!H:H))</f>
        <v>---</v>
      </c>
      <c r="P11" s="66" t="str">
        <f>IF((A11="ENDE")+(A11="---"),"---",LOOKUP(CONCATENATE(Deckblatt!$C$14,"-",Q11),'WK-Vorlagen'!B:B,'WK-Vorlagen'!I:I))</f>
        <v>---</v>
      </c>
      <c r="Q11" s="234" t="s">
        <v>454</v>
      </c>
      <c r="R11" s="274" t="str">
        <f>IF((A11="ENDE")+(A11="---"),"---",IF(LOOKUP(CONCATENATE(Deckblatt!$C$14,"-",Q11),'WK-Vorlagen'!B:B,'WK-Vorlagen'!E:E)=0,"-",1))</f>
        <v>---</v>
      </c>
      <c r="S11" s="66" t="str">
        <f>IF((A11="ENDE")+(A11="---"),"---",IF(LOOKUP(CONCATENATE(Deckblatt!$C$14,"-",Q11),'WK-Vorlagen'!B:B,'WK-Vorlagen'!F:F)=0,"-",1))</f>
        <v>---</v>
      </c>
      <c r="T11" s="66" t="str">
        <f>IF((A11="ENDE")+(A11="---"),"---",IF(LOOKUP(CONCATENATE(Deckblatt!$C$14,"-",Q11),'WK-Vorlagen'!B:B,'WK-Vorlagen'!G:G)=0,"-",1))</f>
        <v>---</v>
      </c>
      <c r="U11" s="66">
        <f t="shared" si="4"/>
        <v>0</v>
      </c>
      <c r="V11" s="66">
        <f t="shared" si="5"/>
        <v>0</v>
      </c>
      <c r="W11" s="66">
        <f t="shared" si="6"/>
        <v>0</v>
      </c>
    </row>
    <row r="12" spans="1:23">
      <c r="A12" s="115" t="str">
        <f>IF((A11="ENDE")+(A11="---")+(Deckblatt!$C$14=""),"---",LOOKUP(CONCATENATE(Deckblatt!$C$14,"-",Q12),'WK-Vorlagen'!B:B,'WK-Vorlagen'!C:C))</f>
        <v>---</v>
      </c>
      <c r="B12" s="31" t="str">
        <f>IF((A12="ENDE")+(A12="---"),"---",LOOKUP(CONCATENATE(Deckblatt!$C$14,"-",Q12),'WK-Vorlagen'!B:B,'WK-Vorlagen'!D:D))</f>
        <v>---</v>
      </c>
      <c r="C12" s="100">
        <f>COUNTIF(Teilnehmer!$E$4:$E$999,A12)</f>
        <v>0</v>
      </c>
      <c r="D12" s="151">
        <v>0</v>
      </c>
      <c r="E12" s="101" t="b">
        <v>0</v>
      </c>
      <c r="F12" s="102">
        <f t="shared" si="0"/>
        <v>0</v>
      </c>
      <c r="G12" s="103" t="b">
        <v>0</v>
      </c>
      <c r="H12" s="102">
        <f t="shared" si="1"/>
        <v>0</v>
      </c>
      <c r="I12" s="100">
        <f>COUNTIF(Mannschaften!$B$5:$B$54,A12)</f>
        <v>0</v>
      </c>
      <c r="J12" s="151">
        <v>0</v>
      </c>
      <c r="K12" s="101" t="b">
        <v>0</v>
      </c>
      <c r="L12" s="102">
        <f t="shared" si="2"/>
        <v>0</v>
      </c>
      <c r="M12" s="103" t="b">
        <v>0</v>
      </c>
      <c r="N12" s="102">
        <f t="shared" si="3"/>
        <v>0</v>
      </c>
      <c r="O12" s="66" t="str">
        <f>IF((A12="ENDE")+(A12="---"),"---",LOOKUP(CONCATENATE(Deckblatt!$C$14,"-",Q12),'WK-Vorlagen'!B:B,'WK-Vorlagen'!H:H))</f>
        <v>---</v>
      </c>
      <c r="P12" s="66" t="str">
        <f>IF((A12="ENDE")+(A12="---"),"---",LOOKUP(CONCATENATE(Deckblatt!$C$14,"-",Q12),'WK-Vorlagen'!B:B,'WK-Vorlagen'!I:I))</f>
        <v>---</v>
      </c>
      <c r="Q12" s="234" t="s">
        <v>455</v>
      </c>
      <c r="R12" s="274" t="str">
        <f>IF((A12="ENDE")+(A12="---"),"---",IF(LOOKUP(CONCATENATE(Deckblatt!$C$14,"-",Q12),'WK-Vorlagen'!B:B,'WK-Vorlagen'!E:E)=0,"-",1))</f>
        <v>---</v>
      </c>
      <c r="S12" s="66" t="str">
        <f>IF((A12="ENDE")+(A12="---"),"---",IF(LOOKUP(CONCATENATE(Deckblatt!$C$14,"-",Q12),'WK-Vorlagen'!B:B,'WK-Vorlagen'!F:F)=0,"-",1))</f>
        <v>---</v>
      </c>
      <c r="T12" s="66" t="str">
        <f>IF((A12="ENDE")+(A12="---"),"---",IF(LOOKUP(CONCATENATE(Deckblatt!$C$14,"-",Q12),'WK-Vorlagen'!B:B,'WK-Vorlagen'!G:G)=0,"-",1))</f>
        <v>---</v>
      </c>
      <c r="U12" s="66">
        <f t="shared" si="4"/>
        <v>0</v>
      </c>
      <c r="V12" s="66">
        <f t="shared" si="5"/>
        <v>0</v>
      </c>
      <c r="W12" s="66">
        <f t="shared" si="6"/>
        <v>0</v>
      </c>
    </row>
    <row r="13" spans="1:23">
      <c r="A13" s="115" t="str">
        <f>IF((A12="ENDE")+(A12="---")+(Deckblatt!$C$14=""),"---",LOOKUP(CONCATENATE(Deckblatt!$C$14,"-",Q13),'WK-Vorlagen'!B:B,'WK-Vorlagen'!C:C))</f>
        <v>---</v>
      </c>
      <c r="B13" s="31" t="str">
        <f>IF((A13="ENDE")+(A13="---"),"---",LOOKUP(CONCATENATE(Deckblatt!$C$14,"-",Q13),'WK-Vorlagen'!B:B,'WK-Vorlagen'!D:D))</f>
        <v>---</v>
      </c>
      <c r="C13" s="100">
        <f>COUNTIF(Teilnehmer!$E$4:$E$999,A13)</f>
        <v>0</v>
      </c>
      <c r="D13" s="151">
        <v>0</v>
      </c>
      <c r="E13" s="101" t="b">
        <v>0</v>
      </c>
      <c r="F13" s="102">
        <f t="shared" si="0"/>
        <v>0</v>
      </c>
      <c r="G13" s="103" t="b">
        <v>0</v>
      </c>
      <c r="H13" s="102">
        <f t="shared" si="1"/>
        <v>0</v>
      </c>
      <c r="I13" s="100">
        <f>COUNTIF(Mannschaften!$B$5:$B$54,A13)</f>
        <v>0</v>
      </c>
      <c r="J13" s="151">
        <v>0</v>
      </c>
      <c r="K13" s="101" t="b">
        <v>0</v>
      </c>
      <c r="L13" s="102">
        <f t="shared" si="2"/>
        <v>0</v>
      </c>
      <c r="M13" s="103" t="b">
        <v>0</v>
      </c>
      <c r="N13" s="102">
        <f t="shared" si="3"/>
        <v>0</v>
      </c>
      <c r="O13" s="66" t="str">
        <f>IF((A13="ENDE")+(A13="---"),"---",LOOKUP(CONCATENATE(Deckblatt!$C$14,"-",Q13),'WK-Vorlagen'!B:B,'WK-Vorlagen'!H:H))</f>
        <v>---</v>
      </c>
      <c r="P13" s="66" t="str">
        <f>IF((A13="ENDE")+(A13="---"),"---",LOOKUP(CONCATENATE(Deckblatt!$C$14,"-",Q13),'WK-Vorlagen'!B:B,'WK-Vorlagen'!I:I))</f>
        <v>---</v>
      </c>
      <c r="Q13" s="234" t="s">
        <v>456</v>
      </c>
      <c r="R13" s="274" t="str">
        <f>IF((A13="ENDE")+(A13="---"),"---",IF(LOOKUP(CONCATENATE(Deckblatt!$C$14,"-",Q13),'WK-Vorlagen'!B:B,'WK-Vorlagen'!E:E)=0,"-",1))</f>
        <v>---</v>
      </c>
      <c r="S13" s="66" t="str">
        <f>IF((A13="ENDE")+(A13="---"),"---",IF(LOOKUP(CONCATENATE(Deckblatt!$C$14,"-",Q13),'WK-Vorlagen'!B:B,'WK-Vorlagen'!F:F)=0,"-",1))</f>
        <v>---</v>
      </c>
      <c r="T13" s="66" t="str">
        <f>IF((A13="ENDE")+(A13="---"),"---",IF(LOOKUP(CONCATENATE(Deckblatt!$C$14,"-",Q13),'WK-Vorlagen'!B:B,'WK-Vorlagen'!G:G)=0,"-",1))</f>
        <v>---</v>
      </c>
      <c r="U13" s="66">
        <f t="shared" si="4"/>
        <v>0</v>
      </c>
      <c r="V13" s="66">
        <f t="shared" si="5"/>
        <v>0</v>
      </c>
      <c r="W13" s="66">
        <f t="shared" si="6"/>
        <v>0</v>
      </c>
    </row>
    <row r="14" spans="1:23">
      <c r="A14" s="115" t="str">
        <f>IF((A13="ENDE")+(A13="---")+(Deckblatt!$C$14=""),"---",LOOKUP(CONCATENATE(Deckblatt!$C$14,"-",Q14),'WK-Vorlagen'!B:B,'WK-Vorlagen'!C:C))</f>
        <v>---</v>
      </c>
      <c r="B14" s="31" t="str">
        <f>IF((A14="ENDE")+(A14="---"),"---",LOOKUP(CONCATENATE(Deckblatt!$C$14,"-",Q14),'WK-Vorlagen'!B:B,'WK-Vorlagen'!D:D))</f>
        <v>---</v>
      </c>
      <c r="C14" s="100">
        <f>COUNTIF(Teilnehmer!$E$4:$E$999,A14)</f>
        <v>0</v>
      </c>
      <c r="D14" s="151">
        <v>0</v>
      </c>
      <c r="E14" s="101" t="b">
        <v>0</v>
      </c>
      <c r="F14" s="102">
        <f t="shared" si="0"/>
        <v>0</v>
      </c>
      <c r="G14" s="103" t="b">
        <v>0</v>
      </c>
      <c r="H14" s="102">
        <f t="shared" si="1"/>
        <v>0</v>
      </c>
      <c r="I14" s="100">
        <f>COUNTIF(Mannschaften!$B$5:$B$54,A14)</f>
        <v>0</v>
      </c>
      <c r="J14" s="151">
        <v>0</v>
      </c>
      <c r="K14" s="101" t="b">
        <v>0</v>
      </c>
      <c r="L14" s="102">
        <f t="shared" si="2"/>
        <v>0</v>
      </c>
      <c r="M14" s="103" t="b">
        <v>0</v>
      </c>
      <c r="N14" s="102">
        <f t="shared" si="3"/>
        <v>0</v>
      </c>
      <c r="O14" s="66" t="str">
        <f>IF((A14="ENDE")+(A14="---"),"---",LOOKUP(CONCATENATE(Deckblatt!$C$14,"-",Q14),'WK-Vorlagen'!B:B,'WK-Vorlagen'!H:H))</f>
        <v>---</v>
      </c>
      <c r="P14" s="66" t="str">
        <f>IF((A14="ENDE")+(A14="---"),"---",LOOKUP(CONCATENATE(Deckblatt!$C$14,"-",Q14),'WK-Vorlagen'!B:B,'WK-Vorlagen'!I:I))</f>
        <v>---</v>
      </c>
      <c r="Q14" s="234" t="s">
        <v>457</v>
      </c>
      <c r="R14" s="274" t="str">
        <f>IF((A14="ENDE")+(A14="---"),"---",IF(LOOKUP(CONCATENATE(Deckblatt!$C$14,"-",Q14),'WK-Vorlagen'!B:B,'WK-Vorlagen'!E:E)=0,"-",1))</f>
        <v>---</v>
      </c>
      <c r="S14" s="66" t="str">
        <f>IF((A14="ENDE")+(A14="---"),"---",IF(LOOKUP(CONCATENATE(Deckblatt!$C$14,"-",Q14),'WK-Vorlagen'!B:B,'WK-Vorlagen'!F:F)=0,"-",1))</f>
        <v>---</v>
      </c>
      <c r="T14" s="66" t="str">
        <f>IF((A14="ENDE")+(A14="---"),"---",IF(LOOKUP(CONCATENATE(Deckblatt!$C$14,"-",Q14),'WK-Vorlagen'!B:B,'WK-Vorlagen'!G:G)=0,"-",1))</f>
        <v>---</v>
      </c>
      <c r="U14" s="66">
        <f t="shared" si="4"/>
        <v>0</v>
      </c>
      <c r="V14" s="66">
        <f t="shared" si="5"/>
        <v>0</v>
      </c>
      <c r="W14" s="66">
        <f t="shared" si="6"/>
        <v>0</v>
      </c>
    </row>
    <row r="15" spans="1:23">
      <c r="A15" s="115" t="str">
        <f>IF((A14="ENDE")+(A14="---")+(Deckblatt!$C$14=""),"---",LOOKUP(CONCATENATE(Deckblatt!$C$14,"-",Q15),'WK-Vorlagen'!B:B,'WK-Vorlagen'!C:C))</f>
        <v>---</v>
      </c>
      <c r="B15" s="31" t="str">
        <f>IF((A15="ENDE")+(A15="---"),"---",LOOKUP(CONCATENATE(Deckblatt!$C$14,"-",Q15),'WK-Vorlagen'!B:B,'WK-Vorlagen'!D:D))</f>
        <v>---</v>
      </c>
      <c r="C15" s="100">
        <f>COUNTIF(Teilnehmer!$E$4:$E$999,A15)</f>
        <v>0</v>
      </c>
      <c r="D15" s="151">
        <v>0</v>
      </c>
      <c r="E15" s="101" t="b">
        <v>0</v>
      </c>
      <c r="F15" s="102">
        <f t="shared" si="0"/>
        <v>0</v>
      </c>
      <c r="G15" s="103" t="b">
        <v>0</v>
      </c>
      <c r="H15" s="102">
        <f t="shared" si="1"/>
        <v>0</v>
      </c>
      <c r="I15" s="100">
        <f>COUNTIF(Mannschaften!$B$5:$B$54,A15)</f>
        <v>0</v>
      </c>
      <c r="J15" s="151">
        <v>0</v>
      </c>
      <c r="K15" s="101" t="b">
        <v>0</v>
      </c>
      <c r="L15" s="102">
        <f t="shared" si="2"/>
        <v>0</v>
      </c>
      <c r="M15" s="103" t="b">
        <v>0</v>
      </c>
      <c r="N15" s="102">
        <f t="shared" si="3"/>
        <v>0</v>
      </c>
      <c r="O15" s="66" t="str">
        <f>IF((A15="ENDE")+(A15="---"),"---",LOOKUP(CONCATENATE(Deckblatt!$C$14,"-",Q15),'WK-Vorlagen'!B:B,'WK-Vorlagen'!H:H))</f>
        <v>---</v>
      </c>
      <c r="P15" s="66" t="str">
        <f>IF((A15="ENDE")+(A15="---"),"---",LOOKUP(CONCATENATE(Deckblatt!$C$14,"-",Q15),'WK-Vorlagen'!B:B,'WK-Vorlagen'!I:I))</f>
        <v>---</v>
      </c>
      <c r="Q15" s="234" t="s">
        <v>458</v>
      </c>
      <c r="R15" s="274" t="str">
        <f>IF((A15="ENDE")+(A15="---"),"---",IF(LOOKUP(CONCATENATE(Deckblatt!$C$14,"-",Q15),'WK-Vorlagen'!B:B,'WK-Vorlagen'!E:E)=0,"-",1))</f>
        <v>---</v>
      </c>
      <c r="S15" s="66" t="str">
        <f>IF((A15="ENDE")+(A15="---"),"---",IF(LOOKUP(CONCATENATE(Deckblatt!$C$14,"-",Q15),'WK-Vorlagen'!B:B,'WK-Vorlagen'!F:F)=0,"-",1))</f>
        <v>---</v>
      </c>
      <c r="T15" s="66" t="str">
        <f>IF((A15="ENDE")+(A15="---"),"---",IF(LOOKUP(CONCATENATE(Deckblatt!$C$14,"-",Q15),'WK-Vorlagen'!B:B,'WK-Vorlagen'!G:G)=0,"-",1))</f>
        <v>---</v>
      </c>
      <c r="U15" s="66">
        <f t="shared" si="4"/>
        <v>0</v>
      </c>
      <c r="V15" s="66">
        <f t="shared" si="5"/>
        <v>0</v>
      </c>
      <c r="W15" s="66">
        <f t="shared" si="6"/>
        <v>0</v>
      </c>
    </row>
    <row r="16" spans="1:23">
      <c r="A16" s="115" t="str">
        <f>IF((A15="ENDE")+(A15="---")+(Deckblatt!$C$14=""),"---",LOOKUP(CONCATENATE(Deckblatt!$C$14,"-",Q16),'WK-Vorlagen'!B:B,'WK-Vorlagen'!C:C))</f>
        <v>---</v>
      </c>
      <c r="B16" s="31" t="str">
        <f>IF((A16="ENDE")+(A16="---"),"---",LOOKUP(CONCATENATE(Deckblatt!$C$14,"-",Q16),'WK-Vorlagen'!B:B,'WK-Vorlagen'!D:D))</f>
        <v>---</v>
      </c>
      <c r="C16" s="100">
        <f>COUNTIF(Teilnehmer!$E$4:$E$999,A16)</f>
        <v>0</v>
      </c>
      <c r="D16" s="151">
        <v>0</v>
      </c>
      <c r="E16" s="101" t="b">
        <v>0</v>
      </c>
      <c r="F16" s="102">
        <f t="shared" si="0"/>
        <v>0</v>
      </c>
      <c r="G16" s="103" t="b">
        <v>0</v>
      </c>
      <c r="H16" s="102">
        <f t="shared" si="1"/>
        <v>0</v>
      </c>
      <c r="I16" s="100">
        <f>COUNTIF(Mannschaften!$B$5:$B$54,A16)</f>
        <v>0</v>
      </c>
      <c r="J16" s="151">
        <v>0</v>
      </c>
      <c r="K16" s="101" t="b">
        <v>0</v>
      </c>
      <c r="L16" s="102">
        <f t="shared" si="2"/>
        <v>0</v>
      </c>
      <c r="M16" s="103" t="b">
        <v>0</v>
      </c>
      <c r="N16" s="102">
        <f t="shared" si="3"/>
        <v>0</v>
      </c>
      <c r="O16" s="66" t="str">
        <f>IF((A16="ENDE")+(A16="---"),"---",LOOKUP(CONCATENATE(Deckblatt!$C$14,"-",Q16),'WK-Vorlagen'!B:B,'WK-Vorlagen'!H:H))</f>
        <v>---</v>
      </c>
      <c r="P16" s="66" t="str">
        <f>IF((A16="ENDE")+(A16="---"),"---",LOOKUP(CONCATENATE(Deckblatt!$C$14,"-",Q16),'WK-Vorlagen'!B:B,'WK-Vorlagen'!I:I))</f>
        <v>---</v>
      </c>
      <c r="Q16" s="234" t="s">
        <v>459</v>
      </c>
      <c r="R16" s="274" t="str">
        <f>IF((A16="ENDE")+(A16="---"),"---",IF(LOOKUP(CONCATENATE(Deckblatt!$C$14,"-",Q16),'WK-Vorlagen'!B:B,'WK-Vorlagen'!E:E)=0,"-",1))</f>
        <v>---</v>
      </c>
      <c r="S16" s="66" t="str">
        <f>IF((A16="ENDE")+(A16="---"),"---",IF(LOOKUP(CONCATENATE(Deckblatt!$C$14,"-",Q16),'WK-Vorlagen'!B:B,'WK-Vorlagen'!F:F)=0,"-",1))</f>
        <v>---</v>
      </c>
      <c r="T16" s="66" t="str">
        <f>IF((A16="ENDE")+(A16="---"),"---",IF(LOOKUP(CONCATENATE(Deckblatt!$C$14,"-",Q16),'WK-Vorlagen'!B:B,'WK-Vorlagen'!G:G)=0,"-",1))</f>
        <v>---</v>
      </c>
      <c r="U16" s="66">
        <f t="shared" si="4"/>
        <v>0</v>
      </c>
      <c r="V16" s="66">
        <f t="shared" si="5"/>
        <v>0</v>
      </c>
      <c r="W16" s="66">
        <f t="shared" si="6"/>
        <v>0</v>
      </c>
    </row>
    <row r="17" spans="1:23">
      <c r="A17" s="115" t="str">
        <f>IF((A16="ENDE")+(A16="---")+(Deckblatt!$C$14=""),"---",LOOKUP(CONCATENATE(Deckblatt!$C$14,"-",Q17),'WK-Vorlagen'!B:B,'WK-Vorlagen'!C:C))</f>
        <v>---</v>
      </c>
      <c r="B17" s="31" t="str">
        <f>IF((A17="ENDE")+(A17="---"),"---",LOOKUP(CONCATENATE(Deckblatt!$C$14,"-",Q17),'WK-Vorlagen'!B:B,'WK-Vorlagen'!D:D))</f>
        <v>---</v>
      </c>
      <c r="C17" s="100">
        <f>COUNTIF(Teilnehmer!$E$4:$E$999,A17)</f>
        <v>0</v>
      </c>
      <c r="D17" s="151">
        <v>0</v>
      </c>
      <c r="E17" s="101" t="b">
        <v>0</v>
      </c>
      <c r="F17" s="102">
        <f t="shared" si="0"/>
        <v>0</v>
      </c>
      <c r="G17" s="103" t="b">
        <v>0</v>
      </c>
      <c r="H17" s="102">
        <f t="shared" si="1"/>
        <v>0</v>
      </c>
      <c r="I17" s="100">
        <f>COUNTIF(Mannschaften!$B$5:$B$54,A17)</f>
        <v>0</v>
      </c>
      <c r="J17" s="151">
        <v>0</v>
      </c>
      <c r="K17" s="101" t="b">
        <v>0</v>
      </c>
      <c r="L17" s="102">
        <f t="shared" si="2"/>
        <v>0</v>
      </c>
      <c r="M17" s="103" t="b">
        <v>0</v>
      </c>
      <c r="N17" s="102">
        <f t="shared" si="3"/>
        <v>0</v>
      </c>
      <c r="O17" s="66" t="str">
        <f>IF((A17="ENDE")+(A17="---"),"---",LOOKUP(CONCATENATE(Deckblatt!$C$14,"-",Q17),'WK-Vorlagen'!B:B,'WK-Vorlagen'!H:H))</f>
        <v>---</v>
      </c>
      <c r="P17" s="66" t="str">
        <f>IF((A17="ENDE")+(A17="---"),"---",LOOKUP(CONCATENATE(Deckblatt!$C$14,"-",Q17),'WK-Vorlagen'!B:B,'WK-Vorlagen'!I:I))</f>
        <v>---</v>
      </c>
      <c r="Q17" s="234" t="s">
        <v>460</v>
      </c>
      <c r="R17" s="274" t="str">
        <f>IF((A17="ENDE")+(A17="---"),"---",IF(LOOKUP(CONCATENATE(Deckblatt!$C$14,"-",Q17),'WK-Vorlagen'!B:B,'WK-Vorlagen'!E:E)=0,"-",1))</f>
        <v>---</v>
      </c>
      <c r="S17" s="66" t="str">
        <f>IF((A17="ENDE")+(A17="---"),"---",IF(LOOKUP(CONCATENATE(Deckblatt!$C$14,"-",Q17),'WK-Vorlagen'!B:B,'WK-Vorlagen'!F:F)=0,"-",1))</f>
        <v>---</v>
      </c>
      <c r="T17" s="66" t="str">
        <f>IF((A17="ENDE")+(A17="---"),"---",IF(LOOKUP(CONCATENATE(Deckblatt!$C$14,"-",Q17),'WK-Vorlagen'!B:B,'WK-Vorlagen'!G:G)=0,"-",1))</f>
        <v>---</v>
      </c>
      <c r="U17" s="66">
        <f t="shared" si="4"/>
        <v>0</v>
      </c>
      <c r="V17" s="66">
        <f t="shared" si="5"/>
        <v>0</v>
      </c>
      <c r="W17" s="66">
        <f t="shared" si="6"/>
        <v>0</v>
      </c>
    </row>
    <row r="18" spans="1:23">
      <c r="A18" s="115" t="str">
        <f>IF((A17="ENDE")+(A17="---")+(Deckblatt!$C$14=""),"---",LOOKUP(CONCATENATE(Deckblatt!$C$14,"-",Q18),'WK-Vorlagen'!B:B,'WK-Vorlagen'!C:C))</f>
        <v>---</v>
      </c>
      <c r="B18" s="31" t="str">
        <f>IF((A18="ENDE")+(A18="---"),"---",LOOKUP(CONCATENATE(Deckblatt!$C$14,"-",Q18),'WK-Vorlagen'!B:B,'WK-Vorlagen'!D:D))</f>
        <v>---</v>
      </c>
      <c r="C18" s="100">
        <f>COUNTIF(Teilnehmer!$E$4:$E$999,A18)</f>
        <v>0</v>
      </c>
      <c r="D18" s="151">
        <v>0</v>
      </c>
      <c r="E18" s="101" t="b">
        <v>0</v>
      </c>
      <c r="F18" s="102">
        <f t="shared" si="0"/>
        <v>0</v>
      </c>
      <c r="G18" s="103" t="b">
        <v>0</v>
      </c>
      <c r="H18" s="102">
        <f t="shared" si="1"/>
        <v>0</v>
      </c>
      <c r="I18" s="100">
        <f>COUNTIF(Mannschaften!$B$5:$B$54,A18)</f>
        <v>0</v>
      </c>
      <c r="J18" s="151">
        <v>0</v>
      </c>
      <c r="K18" s="101" t="b">
        <v>0</v>
      </c>
      <c r="L18" s="102">
        <f t="shared" si="2"/>
        <v>0</v>
      </c>
      <c r="M18" s="103" t="b">
        <v>0</v>
      </c>
      <c r="N18" s="102">
        <f t="shared" si="3"/>
        <v>0</v>
      </c>
      <c r="O18" s="66" t="str">
        <f>IF((A18="ENDE")+(A18="---"),"---",LOOKUP(CONCATENATE(Deckblatt!$C$14,"-",Q18),'WK-Vorlagen'!B:B,'WK-Vorlagen'!H:H))</f>
        <v>---</v>
      </c>
      <c r="P18" s="66" t="str">
        <f>IF((A18="ENDE")+(A18="---"),"---",LOOKUP(CONCATENATE(Deckblatt!$C$14,"-",Q18),'WK-Vorlagen'!B:B,'WK-Vorlagen'!I:I))</f>
        <v>---</v>
      </c>
      <c r="Q18" s="234" t="s">
        <v>461</v>
      </c>
      <c r="R18" s="274" t="str">
        <f>IF((A18="ENDE")+(A18="---"),"---",IF(LOOKUP(CONCATENATE(Deckblatt!$C$14,"-",Q18),'WK-Vorlagen'!B:B,'WK-Vorlagen'!E:E)=0,"-",1))</f>
        <v>---</v>
      </c>
      <c r="S18" s="66" t="str">
        <f>IF((A18="ENDE")+(A18="---"),"---",IF(LOOKUP(CONCATENATE(Deckblatt!$C$14,"-",Q18),'WK-Vorlagen'!B:B,'WK-Vorlagen'!F:F)=0,"-",1))</f>
        <v>---</v>
      </c>
      <c r="T18" s="66" t="str">
        <f>IF((A18="ENDE")+(A18="---"),"---",IF(LOOKUP(CONCATENATE(Deckblatt!$C$14,"-",Q18),'WK-Vorlagen'!B:B,'WK-Vorlagen'!G:G)=0,"-",1))</f>
        <v>---</v>
      </c>
      <c r="U18" s="66">
        <f t="shared" si="4"/>
        <v>0</v>
      </c>
      <c r="V18" s="66">
        <f t="shared" si="5"/>
        <v>0</v>
      </c>
      <c r="W18" s="66">
        <f t="shared" si="6"/>
        <v>0</v>
      </c>
    </row>
    <row r="19" spans="1:23">
      <c r="A19" s="115" t="str">
        <f>IF((A18="ENDE")+(A18="---")+(Deckblatt!$C$14=""),"---",LOOKUP(CONCATENATE(Deckblatt!$C$14,"-",Q19),'WK-Vorlagen'!B:B,'WK-Vorlagen'!C:C))</f>
        <v>---</v>
      </c>
      <c r="B19" s="31" t="str">
        <f>IF((A19="ENDE")+(A19="---"),"---",LOOKUP(CONCATENATE(Deckblatt!$C$14,"-",Q19),'WK-Vorlagen'!B:B,'WK-Vorlagen'!D:D))</f>
        <v>---</v>
      </c>
      <c r="C19" s="100">
        <f>COUNTIF(Teilnehmer!$E$4:$E$999,A19)</f>
        <v>0</v>
      </c>
      <c r="D19" s="151">
        <v>0</v>
      </c>
      <c r="E19" s="101" t="b">
        <v>0</v>
      </c>
      <c r="F19" s="102">
        <f t="shared" si="0"/>
        <v>0</v>
      </c>
      <c r="G19" s="103" t="b">
        <v>0</v>
      </c>
      <c r="H19" s="102">
        <f t="shared" si="1"/>
        <v>0</v>
      </c>
      <c r="I19" s="100">
        <f>COUNTIF(Mannschaften!$B$5:$B$54,A19)</f>
        <v>0</v>
      </c>
      <c r="J19" s="151">
        <v>0</v>
      </c>
      <c r="K19" s="101" t="b">
        <v>0</v>
      </c>
      <c r="L19" s="102">
        <f t="shared" si="2"/>
        <v>0</v>
      </c>
      <c r="M19" s="103" t="b">
        <v>0</v>
      </c>
      <c r="N19" s="102">
        <f t="shared" si="3"/>
        <v>0</v>
      </c>
      <c r="O19" s="66" t="str">
        <f>IF((A19="ENDE")+(A19="---"),"---",LOOKUP(CONCATENATE(Deckblatt!$C$14,"-",Q19),'WK-Vorlagen'!B:B,'WK-Vorlagen'!H:H))</f>
        <v>---</v>
      </c>
      <c r="P19" s="66" t="str">
        <f>IF((A19="ENDE")+(A19="---"),"---",LOOKUP(CONCATENATE(Deckblatt!$C$14,"-",Q19),'WK-Vorlagen'!B:B,'WK-Vorlagen'!I:I))</f>
        <v>---</v>
      </c>
      <c r="Q19" s="234" t="s">
        <v>462</v>
      </c>
      <c r="R19" s="274" t="str">
        <f>IF((A19="ENDE")+(A19="---"),"---",IF(LOOKUP(CONCATENATE(Deckblatt!$C$14,"-",Q19),'WK-Vorlagen'!B:B,'WK-Vorlagen'!E:E)=0,"-",1))</f>
        <v>---</v>
      </c>
      <c r="S19" s="66" t="str">
        <f>IF((A19="ENDE")+(A19="---"),"---",IF(LOOKUP(CONCATENATE(Deckblatt!$C$14,"-",Q19),'WK-Vorlagen'!B:B,'WK-Vorlagen'!F:F)=0,"-",1))</f>
        <v>---</v>
      </c>
      <c r="T19" s="66" t="str">
        <f>IF((A19="ENDE")+(A19="---"),"---",IF(LOOKUP(CONCATENATE(Deckblatt!$C$14,"-",Q19),'WK-Vorlagen'!B:B,'WK-Vorlagen'!G:G)=0,"-",1))</f>
        <v>---</v>
      </c>
      <c r="U19" s="66">
        <f t="shared" si="4"/>
        <v>0</v>
      </c>
      <c r="V19" s="66">
        <f t="shared" si="5"/>
        <v>0</v>
      </c>
      <c r="W19" s="66">
        <f t="shared" si="6"/>
        <v>0</v>
      </c>
    </row>
    <row r="20" spans="1:23">
      <c r="A20" s="115" t="str">
        <f>IF((A19="ENDE")+(A19="---")+(Deckblatt!$C$14=""),"---",LOOKUP(CONCATENATE(Deckblatt!$C$14,"-",Q20),'WK-Vorlagen'!B:B,'WK-Vorlagen'!C:C))</f>
        <v>---</v>
      </c>
      <c r="B20" s="31" t="str">
        <f>IF((A20="ENDE")+(A20="---"),"---",LOOKUP(CONCATENATE(Deckblatt!$C$14,"-",Q20),'WK-Vorlagen'!B:B,'WK-Vorlagen'!D:D))</f>
        <v>---</v>
      </c>
      <c r="C20" s="100">
        <f>COUNTIF(Teilnehmer!$E$4:$E$999,A20)</f>
        <v>0</v>
      </c>
      <c r="D20" s="151">
        <v>0</v>
      </c>
      <c r="E20" s="101" t="b">
        <v>0</v>
      </c>
      <c r="F20" s="102">
        <f t="shared" si="0"/>
        <v>0</v>
      </c>
      <c r="G20" s="103" t="b">
        <v>0</v>
      </c>
      <c r="H20" s="102">
        <f t="shared" si="1"/>
        <v>0</v>
      </c>
      <c r="I20" s="100">
        <f>COUNTIF(Mannschaften!$B$5:$B$54,A20)</f>
        <v>0</v>
      </c>
      <c r="J20" s="151">
        <v>0</v>
      </c>
      <c r="K20" s="101" t="b">
        <v>0</v>
      </c>
      <c r="L20" s="102">
        <f t="shared" si="2"/>
        <v>0</v>
      </c>
      <c r="M20" s="103" t="b">
        <v>0</v>
      </c>
      <c r="N20" s="102">
        <f t="shared" si="3"/>
        <v>0</v>
      </c>
      <c r="O20" s="66" t="str">
        <f>IF((A20="ENDE")+(A20="---"),"---",LOOKUP(CONCATENATE(Deckblatt!$C$14,"-",Q20),'WK-Vorlagen'!B:B,'WK-Vorlagen'!H:H))</f>
        <v>---</v>
      </c>
      <c r="P20" s="66" t="str">
        <f>IF((A20="ENDE")+(A20="---"),"---",LOOKUP(CONCATENATE(Deckblatt!$C$14,"-",Q20),'WK-Vorlagen'!B:B,'WK-Vorlagen'!I:I))</f>
        <v>---</v>
      </c>
      <c r="Q20" s="234" t="s">
        <v>463</v>
      </c>
      <c r="R20" s="274" t="str">
        <f>IF((A20="ENDE")+(A20="---"),"---",IF(LOOKUP(CONCATENATE(Deckblatt!$C$14,"-",Q20),'WK-Vorlagen'!B:B,'WK-Vorlagen'!E:E)=0,"-",1))</f>
        <v>---</v>
      </c>
      <c r="S20" s="66" t="str">
        <f>IF((A20="ENDE")+(A20="---"),"---",IF(LOOKUP(CONCATENATE(Deckblatt!$C$14,"-",Q20),'WK-Vorlagen'!B:B,'WK-Vorlagen'!F:F)=0,"-",1))</f>
        <v>---</v>
      </c>
      <c r="T20" s="66" t="str">
        <f>IF((A20="ENDE")+(A20="---"),"---",IF(LOOKUP(CONCATENATE(Deckblatt!$C$14,"-",Q20),'WK-Vorlagen'!B:B,'WK-Vorlagen'!G:G)=0,"-",1))</f>
        <v>---</v>
      </c>
      <c r="U20" s="66">
        <f t="shared" si="4"/>
        <v>0</v>
      </c>
      <c r="V20" s="66">
        <f t="shared" si="5"/>
        <v>0</v>
      </c>
      <c r="W20" s="66">
        <f t="shared" si="6"/>
        <v>0</v>
      </c>
    </row>
    <row r="21" spans="1:23">
      <c r="A21" s="115" t="str">
        <f>IF((A20="ENDE")+(A20="---")+(Deckblatt!$C$14=""),"---",LOOKUP(CONCATENATE(Deckblatt!$C$14,"-",Q21),'WK-Vorlagen'!B:B,'WK-Vorlagen'!C:C))</f>
        <v>---</v>
      </c>
      <c r="B21" s="31" t="str">
        <f>IF((A21="ENDE")+(A21="---"),"---",LOOKUP(CONCATENATE(Deckblatt!$C$14,"-",Q21),'WK-Vorlagen'!B:B,'WK-Vorlagen'!D:D))</f>
        <v>---</v>
      </c>
      <c r="C21" s="100">
        <f>COUNTIF(Teilnehmer!$E$4:$E$999,A21)</f>
        <v>0</v>
      </c>
      <c r="D21" s="151">
        <v>0</v>
      </c>
      <c r="E21" s="101" t="b">
        <v>0</v>
      </c>
      <c r="F21" s="102">
        <f t="shared" si="0"/>
        <v>0</v>
      </c>
      <c r="G21" s="103" t="b">
        <v>0</v>
      </c>
      <c r="H21" s="102">
        <f t="shared" si="1"/>
        <v>0</v>
      </c>
      <c r="I21" s="100">
        <f>COUNTIF(Mannschaften!$B$5:$B$54,A21)</f>
        <v>0</v>
      </c>
      <c r="J21" s="151">
        <v>0</v>
      </c>
      <c r="K21" s="101" t="b">
        <v>0</v>
      </c>
      <c r="L21" s="102">
        <f t="shared" si="2"/>
        <v>0</v>
      </c>
      <c r="M21" s="103" t="b">
        <v>0</v>
      </c>
      <c r="N21" s="102">
        <f t="shared" si="3"/>
        <v>0</v>
      </c>
      <c r="O21" s="66" t="str">
        <f>IF((A21="ENDE")+(A21="---"),"---",LOOKUP(CONCATENATE(Deckblatt!$C$14,"-",Q21),'WK-Vorlagen'!B:B,'WK-Vorlagen'!H:H))</f>
        <v>---</v>
      </c>
      <c r="P21" s="66" t="str">
        <f>IF((A21="ENDE")+(A21="---"),"---",LOOKUP(CONCATENATE(Deckblatt!$C$14,"-",Q21),'WK-Vorlagen'!B:B,'WK-Vorlagen'!I:I))</f>
        <v>---</v>
      </c>
      <c r="Q21" s="234" t="s">
        <v>464</v>
      </c>
      <c r="R21" s="274" t="str">
        <f>IF((A21="ENDE")+(A21="---"),"---",IF(LOOKUP(CONCATENATE(Deckblatt!$C$14,"-",Q21),'WK-Vorlagen'!B:B,'WK-Vorlagen'!E:E)=0,"-",1))</f>
        <v>---</v>
      </c>
      <c r="S21" s="66" t="str">
        <f>IF((A21="ENDE")+(A21="---"),"---",IF(LOOKUP(CONCATENATE(Deckblatt!$C$14,"-",Q21),'WK-Vorlagen'!B:B,'WK-Vorlagen'!F:F)=0,"-",1))</f>
        <v>---</v>
      </c>
      <c r="T21" s="66" t="str">
        <f>IF((A21="ENDE")+(A21="---"),"---",IF(LOOKUP(CONCATENATE(Deckblatt!$C$14,"-",Q21),'WK-Vorlagen'!B:B,'WK-Vorlagen'!G:G)=0,"-",1))</f>
        <v>---</v>
      </c>
      <c r="U21" s="66">
        <f t="shared" si="4"/>
        <v>0</v>
      </c>
      <c r="V21" s="66">
        <f t="shared" si="5"/>
        <v>0</v>
      </c>
      <c r="W21" s="66">
        <f t="shared" si="6"/>
        <v>0</v>
      </c>
    </row>
    <row r="22" spans="1:23">
      <c r="A22" s="115" t="str">
        <f>IF((A21="ENDE")+(A21="---")+(Deckblatt!$C$14=""),"---",LOOKUP(CONCATENATE(Deckblatt!$C$14,"-",Q22),'WK-Vorlagen'!B:B,'WK-Vorlagen'!C:C))</f>
        <v>---</v>
      </c>
      <c r="B22" s="31" t="str">
        <f>IF((A22="ENDE")+(A22="---"),"---",LOOKUP(CONCATENATE(Deckblatt!$C$14,"-",Q22),'WK-Vorlagen'!B:B,'WK-Vorlagen'!D:D))</f>
        <v>---</v>
      </c>
      <c r="C22" s="100">
        <f>COUNTIF(Teilnehmer!$E$4:$E$999,A22)</f>
        <v>0</v>
      </c>
      <c r="D22" s="151">
        <v>0</v>
      </c>
      <c r="E22" s="101" t="b">
        <v>0</v>
      </c>
      <c r="F22" s="102">
        <f t="shared" si="0"/>
        <v>0</v>
      </c>
      <c r="G22" s="103" t="b">
        <v>0</v>
      </c>
      <c r="H22" s="102">
        <f t="shared" si="1"/>
        <v>0</v>
      </c>
      <c r="I22" s="100">
        <f>COUNTIF(Mannschaften!$B$5:$B$54,A22)</f>
        <v>0</v>
      </c>
      <c r="J22" s="151">
        <v>0</v>
      </c>
      <c r="K22" s="101" t="b">
        <v>0</v>
      </c>
      <c r="L22" s="102">
        <f t="shared" si="2"/>
        <v>0</v>
      </c>
      <c r="M22" s="103" t="b">
        <v>0</v>
      </c>
      <c r="N22" s="102">
        <f t="shared" si="3"/>
        <v>0</v>
      </c>
      <c r="O22" s="66" t="str">
        <f>IF((A22="ENDE")+(A22="---"),"---",LOOKUP(CONCATENATE(Deckblatt!$C$14,"-",Q22),'WK-Vorlagen'!B:B,'WK-Vorlagen'!H:H))</f>
        <v>---</v>
      </c>
      <c r="P22" s="66" t="str">
        <f>IF((A22="ENDE")+(A22="---"),"---",LOOKUP(CONCATENATE(Deckblatt!$C$14,"-",Q22),'WK-Vorlagen'!B:B,'WK-Vorlagen'!I:I))</f>
        <v>---</v>
      </c>
      <c r="Q22" s="234" t="s">
        <v>465</v>
      </c>
      <c r="R22" s="274" t="str">
        <f>IF((A22="ENDE")+(A22="---"),"---",IF(LOOKUP(CONCATENATE(Deckblatt!$C$14,"-",Q22),'WK-Vorlagen'!B:B,'WK-Vorlagen'!E:E)=0,"-",1))</f>
        <v>---</v>
      </c>
      <c r="S22" s="66" t="str">
        <f>IF((A22="ENDE")+(A22="---"),"---",IF(LOOKUP(CONCATENATE(Deckblatt!$C$14,"-",Q22),'WK-Vorlagen'!B:B,'WK-Vorlagen'!F:F)=0,"-",1))</f>
        <v>---</v>
      </c>
      <c r="T22" s="66" t="str">
        <f>IF((A22="ENDE")+(A22="---"),"---",IF(LOOKUP(CONCATENATE(Deckblatt!$C$14,"-",Q22),'WK-Vorlagen'!B:B,'WK-Vorlagen'!G:G)=0,"-",1))</f>
        <v>---</v>
      </c>
      <c r="U22" s="66">
        <f t="shared" si="4"/>
        <v>0</v>
      </c>
      <c r="V22" s="66">
        <f t="shared" si="5"/>
        <v>0</v>
      </c>
      <c r="W22" s="66">
        <f t="shared" si="6"/>
        <v>0</v>
      </c>
    </row>
    <row r="23" spans="1:23">
      <c r="A23" s="115" t="str">
        <f>IF((A22="ENDE")+(A22="---")+(Deckblatt!$C$14=""),"---",LOOKUP(CONCATENATE(Deckblatt!$C$14,"-",Q23),'WK-Vorlagen'!B:B,'WK-Vorlagen'!C:C))</f>
        <v>---</v>
      </c>
      <c r="B23" s="31" t="str">
        <f>IF((A23="ENDE")+(A23="---"),"---",LOOKUP(CONCATENATE(Deckblatt!$C$14,"-",Q23),'WK-Vorlagen'!B:B,'WK-Vorlagen'!D:D))</f>
        <v>---</v>
      </c>
      <c r="C23" s="100">
        <f>COUNTIF(Teilnehmer!$E$4:$E$999,A23)</f>
        <v>0</v>
      </c>
      <c r="D23" s="151">
        <v>0</v>
      </c>
      <c r="E23" s="101" t="b">
        <v>0</v>
      </c>
      <c r="F23" s="102">
        <f t="shared" si="0"/>
        <v>0</v>
      </c>
      <c r="G23" s="103" t="b">
        <v>0</v>
      </c>
      <c r="H23" s="102">
        <f t="shared" si="1"/>
        <v>0</v>
      </c>
      <c r="I23" s="100">
        <f>COUNTIF(Mannschaften!$B$5:$B$54,A23)</f>
        <v>0</v>
      </c>
      <c r="J23" s="151">
        <v>0</v>
      </c>
      <c r="K23" s="101" t="b">
        <v>0</v>
      </c>
      <c r="L23" s="102">
        <f t="shared" si="2"/>
        <v>0</v>
      </c>
      <c r="M23" s="103" t="b">
        <v>0</v>
      </c>
      <c r="N23" s="102">
        <f t="shared" si="3"/>
        <v>0</v>
      </c>
      <c r="O23" s="66" t="str">
        <f>IF((A23="ENDE")+(A23="---"),"---",LOOKUP(CONCATENATE(Deckblatt!$C$14,"-",Q23),'WK-Vorlagen'!B:B,'WK-Vorlagen'!H:H))</f>
        <v>---</v>
      </c>
      <c r="P23" s="66" t="str">
        <f>IF((A23="ENDE")+(A23="---"),"---",LOOKUP(CONCATENATE(Deckblatt!$C$14,"-",Q23),'WK-Vorlagen'!B:B,'WK-Vorlagen'!I:I))</f>
        <v>---</v>
      </c>
      <c r="Q23" s="234" t="s">
        <v>466</v>
      </c>
      <c r="R23" s="274" t="str">
        <f>IF((A23="ENDE")+(A23="---"),"---",IF(LOOKUP(CONCATENATE(Deckblatt!$C$14,"-",Q23),'WK-Vorlagen'!B:B,'WK-Vorlagen'!E:E)=0,"-",1))</f>
        <v>---</v>
      </c>
      <c r="S23" s="66" t="str">
        <f>IF((A23="ENDE")+(A23="---"),"---",IF(LOOKUP(CONCATENATE(Deckblatt!$C$14,"-",Q23),'WK-Vorlagen'!B:B,'WK-Vorlagen'!F:F)=0,"-",1))</f>
        <v>---</v>
      </c>
      <c r="T23" s="66" t="str">
        <f>IF((A23="ENDE")+(A23="---"),"---",IF(LOOKUP(CONCATENATE(Deckblatt!$C$14,"-",Q23),'WK-Vorlagen'!B:B,'WK-Vorlagen'!G:G)=0,"-",1))</f>
        <v>---</v>
      </c>
      <c r="U23" s="66">
        <f t="shared" si="4"/>
        <v>0</v>
      </c>
      <c r="V23" s="66">
        <f t="shared" si="5"/>
        <v>0</v>
      </c>
      <c r="W23" s="66">
        <f t="shared" si="6"/>
        <v>0</v>
      </c>
    </row>
    <row r="24" spans="1:23">
      <c r="A24" s="115" t="str">
        <f>IF((A23="ENDE")+(A23="---")+(Deckblatt!$C$14=""),"---",LOOKUP(CONCATENATE(Deckblatt!$C$14,"-",Q24),'WK-Vorlagen'!B:B,'WK-Vorlagen'!C:C))</f>
        <v>---</v>
      </c>
      <c r="B24" s="31" t="str">
        <f>IF((A24="ENDE")+(A24="---"),"---",LOOKUP(CONCATENATE(Deckblatt!$C$14,"-",Q24),'WK-Vorlagen'!B:B,'WK-Vorlagen'!D:D))</f>
        <v>---</v>
      </c>
      <c r="C24" s="100">
        <f>COUNTIF(Teilnehmer!$E$4:$E$999,A24)</f>
        <v>0</v>
      </c>
      <c r="D24" s="151">
        <v>0</v>
      </c>
      <c r="E24" s="101" t="b">
        <v>0</v>
      </c>
      <c r="F24" s="102">
        <f t="shared" si="0"/>
        <v>0</v>
      </c>
      <c r="G24" s="103" t="b">
        <v>0</v>
      </c>
      <c r="H24" s="102">
        <f t="shared" si="1"/>
        <v>0</v>
      </c>
      <c r="I24" s="100">
        <f>COUNTIF(Mannschaften!$B$5:$B$54,A24)</f>
        <v>0</v>
      </c>
      <c r="J24" s="151">
        <v>0</v>
      </c>
      <c r="K24" s="101" t="b">
        <v>0</v>
      </c>
      <c r="L24" s="102">
        <f t="shared" si="2"/>
        <v>0</v>
      </c>
      <c r="M24" s="103" t="b">
        <v>0</v>
      </c>
      <c r="N24" s="102">
        <f t="shared" si="3"/>
        <v>0</v>
      </c>
      <c r="O24" s="66" t="str">
        <f>IF((A24="ENDE")+(A24="---"),"---",LOOKUP(CONCATENATE(Deckblatt!$C$14,"-",Q24),'WK-Vorlagen'!B:B,'WK-Vorlagen'!H:H))</f>
        <v>---</v>
      </c>
      <c r="P24" s="66" t="str">
        <f>IF((A24="ENDE")+(A24="---"),"---",LOOKUP(CONCATENATE(Deckblatt!$C$14,"-",Q24),'WK-Vorlagen'!B:B,'WK-Vorlagen'!I:I))</f>
        <v>---</v>
      </c>
      <c r="Q24" s="234" t="s">
        <v>467</v>
      </c>
      <c r="R24" s="274" t="str">
        <f>IF((A24="ENDE")+(A24="---"),"---",IF(LOOKUP(CONCATENATE(Deckblatt!$C$14,"-",Q24),'WK-Vorlagen'!B:B,'WK-Vorlagen'!E:E)=0,"-",1))</f>
        <v>---</v>
      </c>
      <c r="S24" s="66" t="str">
        <f>IF((A24="ENDE")+(A24="---"),"---",IF(LOOKUP(CONCATENATE(Deckblatt!$C$14,"-",Q24),'WK-Vorlagen'!B:B,'WK-Vorlagen'!F:F)=0,"-",1))</f>
        <v>---</v>
      </c>
      <c r="T24" s="66" t="str">
        <f>IF((A24="ENDE")+(A24="---"),"---",IF(LOOKUP(CONCATENATE(Deckblatt!$C$14,"-",Q24),'WK-Vorlagen'!B:B,'WK-Vorlagen'!G:G)=0,"-",1))</f>
        <v>---</v>
      </c>
      <c r="U24" s="66">
        <f t="shared" si="4"/>
        <v>0</v>
      </c>
      <c r="V24" s="66">
        <f t="shared" si="5"/>
        <v>0</v>
      </c>
      <c r="W24" s="66">
        <f t="shared" si="6"/>
        <v>0</v>
      </c>
    </row>
    <row r="25" spans="1:23">
      <c r="A25" s="115" t="str">
        <f>IF((A24="ENDE")+(A24="---")+(Deckblatt!$C$14=""),"---",LOOKUP(CONCATENATE(Deckblatt!$C$14,"-",Q25),'WK-Vorlagen'!B:B,'WK-Vorlagen'!C:C))</f>
        <v>---</v>
      </c>
      <c r="B25" s="31" t="str">
        <f>IF((A25="ENDE")+(A25="---"),"---",LOOKUP(CONCATENATE(Deckblatt!$C$14,"-",Q25),'WK-Vorlagen'!B:B,'WK-Vorlagen'!D:D))</f>
        <v>---</v>
      </c>
      <c r="C25" s="100">
        <f>COUNTIF(Teilnehmer!$E$4:$E$999,A25)</f>
        <v>0</v>
      </c>
      <c r="D25" s="151">
        <v>0</v>
      </c>
      <c r="E25" s="101" t="b">
        <v>0</v>
      </c>
      <c r="F25" s="102">
        <f t="shared" si="0"/>
        <v>0</v>
      </c>
      <c r="G25" s="103" t="b">
        <v>0</v>
      </c>
      <c r="H25" s="102">
        <f t="shared" si="1"/>
        <v>0</v>
      </c>
      <c r="I25" s="100">
        <f>COUNTIF(Mannschaften!$B$5:$B$54,A25)</f>
        <v>0</v>
      </c>
      <c r="J25" s="151">
        <v>0</v>
      </c>
      <c r="K25" s="101" t="b">
        <v>0</v>
      </c>
      <c r="L25" s="102">
        <f t="shared" si="2"/>
        <v>0</v>
      </c>
      <c r="M25" s="103" t="b">
        <v>0</v>
      </c>
      <c r="N25" s="102">
        <f t="shared" si="3"/>
        <v>0</v>
      </c>
      <c r="O25" s="66" t="str">
        <f>IF((A25="ENDE")+(A25="---"),"---",LOOKUP(CONCATENATE(Deckblatt!$C$14,"-",Q25),'WK-Vorlagen'!B:B,'WK-Vorlagen'!H:H))</f>
        <v>---</v>
      </c>
      <c r="P25" s="66" t="str">
        <f>IF((A25="ENDE")+(A25="---"),"---",LOOKUP(CONCATENATE(Deckblatt!$C$14,"-",Q25),'WK-Vorlagen'!B:B,'WK-Vorlagen'!I:I))</f>
        <v>---</v>
      </c>
      <c r="Q25" s="234" t="s">
        <v>468</v>
      </c>
      <c r="R25" s="274" t="str">
        <f>IF((A25="ENDE")+(A25="---"),"---",IF(LOOKUP(CONCATENATE(Deckblatt!$C$14,"-",Q25),'WK-Vorlagen'!B:B,'WK-Vorlagen'!E:E)=0,"-",1))</f>
        <v>---</v>
      </c>
      <c r="S25" s="66" t="str">
        <f>IF((A25="ENDE")+(A25="---"),"---",IF(LOOKUP(CONCATENATE(Deckblatt!$C$14,"-",Q25),'WK-Vorlagen'!B:B,'WK-Vorlagen'!F:F)=0,"-",1))</f>
        <v>---</v>
      </c>
      <c r="T25" s="66" t="str">
        <f>IF((A25="ENDE")+(A25="---"),"---",IF(LOOKUP(CONCATENATE(Deckblatt!$C$14,"-",Q25),'WK-Vorlagen'!B:B,'WK-Vorlagen'!G:G)=0,"-",1))</f>
        <v>---</v>
      </c>
      <c r="U25" s="66">
        <f t="shared" si="4"/>
        <v>0</v>
      </c>
      <c r="V25" s="66">
        <f t="shared" si="5"/>
        <v>0</v>
      </c>
      <c r="W25" s="66">
        <f t="shared" si="6"/>
        <v>0</v>
      </c>
    </row>
    <row r="26" spans="1:23">
      <c r="A26" s="115" t="str">
        <f>IF((A25="ENDE")+(A25="---")+(Deckblatt!$C$14=""),"---",LOOKUP(CONCATENATE(Deckblatt!$C$14,"-",Q26),'WK-Vorlagen'!B:B,'WK-Vorlagen'!C:C))</f>
        <v>---</v>
      </c>
      <c r="B26" s="31" t="str">
        <f>IF((A26="ENDE")+(A26="---"),"---",LOOKUP(CONCATENATE(Deckblatt!$C$14,"-",Q26),'WK-Vorlagen'!B:B,'WK-Vorlagen'!D:D))</f>
        <v>---</v>
      </c>
      <c r="C26" s="100">
        <f>COUNTIF(Teilnehmer!$E$4:$E$999,A26)</f>
        <v>0</v>
      </c>
      <c r="D26" s="151">
        <v>0</v>
      </c>
      <c r="E26" s="101" t="b">
        <v>0</v>
      </c>
      <c r="F26" s="102">
        <f t="shared" si="0"/>
        <v>0</v>
      </c>
      <c r="G26" s="103" t="b">
        <v>0</v>
      </c>
      <c r="H26" s="102">
        <f t="shared" si="1"/>
        <v>0</v>
      </c>
      <c r="I26" s="100">
        <f>COUNTIF(Mannschaften!$B$5:$B$54,A26)</f>
        <v>0</v>
      </c>
      <c r="J26" s="151">
        <v>0</v>
      </c>
      <c r="K26" s="101" t="b">
        <v>0</v>
      </c>
      <c r="L26" s="102">
        <f t="shared" si="2"/>
        <v>0</v>
      </c>
      <c r="M26" s="103" t="b">
        <v>0</v>
      </c>
      <c r="N26" s="102">
        <f t="shared" si="3"/>
        <v>0</v>
      </c>
      <c r="O26" s="66" t="str">
        <f>IF((A26="ENDE")+(A26="---"),"---",LOOKUP(CONCATENATE(Deckblatt!$C$14,"-",Q26),'WK-Vorlagen'!B:B,'WK-Vorlagen'!H:H))</f>
        <v>---</v>
      </c>
      <c r="P26" s="66" t="str">
        <f>IF((A26="ENDE")+(A26="---"),"---",LOOKUP(CONCATENATE(Deckblatt!$C$14,"-",Q26),'WK-Vorlagen'!B:B,'WK-Vorlagen'!I:I))</f>
        <v>---</v>
      </c>
      <c r="Q26" s="234" t="s">
        <v>469</v>
      </c>
      <c r="R26" s="274" t="str">
        <f>IF((A26="ENDE")+(A26="---"),"---",IF(LOOKUP(CONCATENATE(Deckblatt!$C$14,"-",Q26),'WK-Vorlagen'!B:B,'WK-Vorlagen'!E:E)=0,"-",1))</f>
        <v>---</v>
      </c>
      <c r="S26" s="66" t="str">
        <f>IF((A26="ENDE")+(A26="---"),"---",IF(LOOKUP(CONCATENATE(Deckblatt!$C$14,"-",Q26),'WK-Vorlagen'!B:B,'WK-Vorlagen'!F:F)=0,"-",1))</f>
        <v>---</v>
      </c>
      <c r="T26" s="66" t="str">
        <f>IF((A26="ENDE")+(A26="---"),"---",IF(LOOKUP(CONCATENATE(Deckblatt!$C$14,"-",Q26),'WK-Vorlagen'!B:B,'WK-Vorlagen'!G:G)=0,"-",1))</f>
        <v>---</v>
      </c>
      <c r="U26" s="66">
        <f t="shared" si="4"/>
        <v>0</v>
      </c>
      <c r="V26" s="66">
        <f t="shared" si="5"/>
        <v>0</v>
      </c>
      <c r="W26" s="66">
        <f t="shared" si="6"/>
        <v>0</v>
      </c>
    </row>
    <row r="27" spans="1:23">
      <c r="A27" s="115" t="str">
        <f>IF((A26="ENDE")+(A26="---")+(Deckblatt!$C$14=""),"---",LOOKUP(CONCATENATE(Deckblatt!$C$14,"-",Q27),'WK-Vorlagen'!B:B,'WK-Vorlagen'!C:C))</f>
        <v>---</v>
      </c>
      <c r="B27" s="31" t="str">
        <f>IF((A27="ENDE")+(A27="---"),"---",LOOKUP(CONCATENATE(Deckblatt!$C$14,"-",Q27),'WK-Vorlagen'!B:B,'WK-Vorlagen'!D:D))</f>
        <v>---</v>
      </c>
      <c r="C27" s="100">
        <f>COUNTIF(Teilnehmer!$E$4:$E$999,A27)</f>
        <v>0</v>
      </c>
      <c r="D27" s="151">
        <v>0</v>
      </c>
      <c r="E27" s="101" t="b">
        <v>0</v>
      </c>
      <c r="F27" s="102">
        <f t="shared" si="0"/>
        <v>0</v>
      </c>
      <c r="G27" s="103" t="b">
        <v>0</v>
      </c>
      <c r="H27" s="102">
        <f t="shared" si="1"/>
        <v>0</v>
      </c>
      <c r="I27" s="100">
        <f>COUNTIF(Mannschaften!$B$5:$B$54,A27)</f>
        <v>0</v>
      </c>
      <c r="J27" s="151">
        <v>0</v>
      </c>
      <c r="K27" s="101" t="b">
        <v>0</v>
      </c>
      <c r="L27" s="102">
        <f t="shared" si="2"/>
        <v>0</v>
      </c>
      <c r="M27" s="103" t="b">
        <v>0</v>
      </c>
      <c r="N27" s="102">
        <f t="shared" si="3"/>
        <v>0</v>
      </c>
      <c r="O27" s="66" t="str">
        <f>IF((A27="ENDE")+(A27="---"),"---",LOOKUP(CONCATENATE(Deckblatt!$C$14,"-",Q27),'WK-Vorlagen'!B:B,'WK-Vorlagen'!H:H))</f>
        <v>---</v>
      </c>
      <c r="P27" s="66" t="str">
        <f>IF((A27="ENDE")+(A27="---"),"---",LOOKUP(CONCATENATE(Deckblatt!$C$14,"-",Q27),'WK-Vorlagen'!B:B,'WK-Vorlagen'!I:I))</f>
        <v>---</v>
      </c>
      <c r="Q27" s="234" t="s">
        <v>470</v>
      </c>
      <c r="R27" s="274" t="str">
        <f>IF((A27="ENDE")+(A27="---"),"---",IF(LOOKUP(CONCATENATE(Deckblatt!$C$14,"-",Q27),'WK-Vorlagen'!B:B,'WK-Vorlagen'!E:E)=0,"-",1))</f>
        <v>---</v>
      </c>
      <c r="S27" s="66" t="str">
        <f>IF((A27="ENDE")+(A27="---"),"---",IF(LOOKUP(CONCATENATE(Deckblatt!$C$14,"-",Q27),'WK-Vorlagen'!B:B,'WK-Vorlagen'!F:F)=0,"-",1))</f>
        <v>---</v>
      </c>
      <c r="T27" s="66" t="str">
        <f>IF((A27="ENDE")+(A27="---"),"---",IF(LOOKUP(CONCATENATE(Deckblatt!$C$14,"-",Q27),'WK-Vorlagen'!B:B,'WK-Vorlagen'!G:G)=0,"-",1))</f>
        <v>---</v>
      </c>
      <c r="U27" s="66">
        <f t="shared" si="4"/>
        <v>0</v>
      </c>
      <c r="V27" s="66">
        <f t="shared" si="5"/>
        <v>0</v>
      </c>
      <c r="W27" s="66">
        <f t="shared" si="6"/>
        <v>0</v>
      </c>
    </row>
    <row r="28" spans="1:23">
      <c r="A28" s="115" t="str">
        <f>IF((A27="ENDE")+(A27="---")+(Deckblatt!$C$14=""),"---",LOOKUP(CONCATENATE(Deckblatt!$C$14,"-",Q28),'WK-Vorlagen'!B:B,'WK-Vorlagen'!C:C))</f>
        <v>---</v>
      </c>
      <c r="B28" s="31" t="str">
        <f>IF((A28="ENDE")+(A28="---"),"---",LOOKUP(CONCATENATE(Deckblatt!$C$14,"-",Q28),'WK-Vorlagen'!B:B,'WK-Vorlagen'!D:D))</f>
        <v>---</v>
      </c>
      <c r="C28" s="100">
        <f>COUNTIF(Teilnehmer!$E$4:$E$999,A28)</f>
        <v>0</v>
      </c>
      <c r="D28" s="151">
        <v>0</v>
      </c>
      <c r="E28" s="101" t="b">
        <v>0</v>
      </c>
      <c r="F28" s="102">
        <f t="shared" si="0"/>
        <v>0</v>
      </c>
      <c r="G28" s="103" t="b">
        <v>0</v>
      </c>
      <c r="H28" s="102">
        <f t="shared" si="1"/>
        <v>0</v>
      </c>
      <c r="I28" s="100">
        <f>COUNTIF(Mannschaften!$B$5:$B$54,A28)</f>
        <v>0</v>
      </c>
      <c r="J28" s="151">
        <v>0</v>
      </c>
      <c r="K28" s="101" t="b">
        <v>0</v>
      </c>
      <c r="L28" s="102">
        <f t="shared" si="2"/>
        <v>0</v>
      </c>
      <c r="M28" s="103" t="b">
        <v>0</v>
      </c>
      <c r="N28" s="102">
        <f t="shared" si="3"/>
        <v>0</v>
      </c>
      <c r="O28" s="66" t="str">
        <f>IF((A28="ENDE")+(A28="---"),"---",LOOKUP(CONCATENATE(Deckblatt!$C$14,"-",Q28),'WK-Vorlagen'!B:B,'WK-Vorlagen'!H:H))</f>
        <v>---</v>
      </c>
      <c r="P28" s="66" t="str">
        <f>IF((A28="ENDE")+(A28="---"),"---",LOOKUP(CONCATENATE(Deckblatt!$C$14,"-",Q28),'WK-Vorlagen'!B:B,'WK-Vorlagen'!I:I))</f>
        <v>---</v>
      </c>
      <c r="Q28" s="234" t="s">
        <v>471</v>
      </c>
      <c r="R28" s="274" t="str">
        <f>IF((A28="ENDE")+(A28="---"),"---",IF(LOOKUP(CONCATENATE(Deckblatt!$C$14,"-",Q28),'WK-Vorlagen'!B:B,'WK-Vorlagen'!E:E)=0,"-",1))</f>
        <v>---</v>
      </c>
      <c r="S28" s="66" t="str">
        <f>IF((A28="ENDE")+(A28="---"),"---",IF(LOOKUP(CONCATENATE(Deckblatt!$C$14,"-",Q28),'WK-Vorlagen'!B:B,'WK-Vorlagen'!F:F)=0,"-",1))</f>
        <v>---</v>
      </c>
      <c r="T28" s="66" t="str">
        <f>IF((A28="ENDE")+(A28="---"),"---",IF(LOOKUP(CONCATENATE(Deckblatt!$C$14,"-",Q28),'WK-Vorlagen'!B:B,'WK-Vorlagen'!G:G)=0,"-",1))</f>
        <v>---</v>
      </c>
      <c r="U28" s="66">
        <f t="shared" si="4"/>
        <v>0</v>
      </c>
      <c r="V28" s="66">
        <f t="shared" si="5"/>
        <v>0</v>
      </c>
      <c r="W28" s="66">
        <f t="shared" si="6"/>
        <v>0</v>
      </c>
    </row>
    <row r="29" spans="1:23">
      <c r="A29" s="115" t="str">
        <f>IF((A28="ENDE")+(A28="---")+(Deckblatt!$C$14=""),"---",LOOKUP(CONCATENATE(Deckblatt!$C$14,"-",Q29),'WK-Vorlagen'!B:B,'WK-Vorlagen'!C:C))</f>
        <v>---</v>
      </c>
      <c r="B29" s="31" t="str">
        <f>IF((A29="ENDE")+(A29="---"),"---",LOOKUP(CONCATENATE(Deckblatt!$C$14,"-",Q29),'WK-Vorlagen'!B:B,'WK-Vorlagen'!D:D))</f>
        <v>---</v>
      </c>
      <c r="C29" s="100">
        <f>COUNTIF(Teilnehmer!$E$4:$E$999,A29)</f>
        <v>0</v>
      </c>
      <c r="D29" s="151">
        <v>0</v>
      </c>
      <c r="E29" s="101" t="b">
        <v>0</v>
      </c>
      <c r="F29" s="102">
        <f t="shared" si="0"/>
        <v>0</v>
      </c>
      <c r="G29" s="103" t="b">
        <v>0</v>
      </c>
      <c r="H29" s="102">
        <f t="shared" si="1"/>
        <v>0</v>
      </c>
      <c r="I29" s="100">
        <f>COUNTIF(Mannschaften!$B$5:$B$54,A29)</f>
        <v>0</v>
      </c>
      <c r="J29" s="151">
        <v>0</v>
      </c>
      <c r="K29" s="101" t="b">
        <v>0</v>
      </c>
      <c r="L29" s="102">
        <f t="shared" si="2"/>
        <v>0</v>
      </c>
      <c r="M29" s="103" t="b">
        <v>0</v>
      </c>
      <c r="N29" s="102">
        <f t="shared" si="3"/>
        <v>0</v>
      </c>
      <c r="O29" s="66" t="str">
        <f>IF((A29="ENDE")+(A29="---"),"---",LOOKUP(CONCATENATE(Deckblatt!$C$14,"-",Q29),'WK-Vorlagen'!B:B,'WK-Vorlagen'!H:H))</f>
        <v>---</v>
      </c>
      <c r="P29" s="66" t="str">
        <f>IF((A29="ENDE")+(A29="---"),"---",LOOKUP(CONCATENATE(Deckblatt!$C$14,"-",Q29),'WK-Vorlagen'!B:B,'WK-Vorlagen'!I:I))</f>
        <v>---</v>
      </c>
      <c r="Q29" s="234" t="s">
        <v>472</v>
      </c>
      <c r="R29" s="274" t="str">
        <f>IF((A29="ENDE")+(A29="---"),"---",IF(LOOKUP(CONCATENATE(Deckblatt!$C$14,"-",Q29),'WK-Vorlagen'!B:B,'WK-Vorlagen'!E:E)=0,"-",1))</f>
        <v>---</v>
      </c>
      <c r="S29" s="66" t="str">
        <f>IF((A29="ENDE")+(A29="---"),"---",IF(LOOKUP(CONCATENATE(Deckblatt!$C$14,"-",Q29),'WK-Vorlagen'!B:B,'WK-Vorlagen'!F:F)=0,"-",1))</f>
        <v>---</v>
      </c>
      <c r="T29" s="66" t="str">
        <f>IF((A29="ENDE")+(A29="---"),"---",IF(LOOKUP(CONCATENATE(Deckblatt!$C$14,"-",Q29),'WK-Vorlagen'!B:B,'WK-Vorlagen'!G:G)=0,"-",1))</f>
        <v>---</v>
      </c>
      <c r="U29" s="66">
        <f t="shared" si="4"/>
        <v>0</v>
      </c>
      <c r="V29" s="66">
        <f t="shared" si="5"/>
        <v>0</v>
      </c>
      <c r="W29" s="66">
        <f t="shared" si="6"/>
        <v>0</v>
      </c>
    </row>
    <row r="30" spans="1:23">
      <c r="A30" s="115" t="str">
        <f>IF((A29="ENDE")+(A29="---")+(Deckblatt!$C$14=""),"---",LOOKUP(CONCATENATE(Deckblatt!$C$14,"-",Q30),'WK-Vorlagen'!B:B,'WK-Vorlagen'!C:C))</f>
        <v>---</v>
      </c>
      <c r="B30" s="31" t="str">
        <f>IF((A30="ENDE")+(A30="---"),"---",LOOKUP(CONCATENATE(Deckblatt!$C$14,"-",Q30),'WK-Vorlagen'!B:B,'WK-Vorlagen'!D:D))</f>
        <v>---</v>
      </c>
      <c r="C30" s="100">
        <f>COUNTIF(Teilnehmer!$E$4:$E$999,A30)</f>
        <v>0</v>
      </c>
      <c r="D30" s="151">
        <v>0</v>
      </c>
      <c r="E30" s="101" t="b">
        <v>0</v>
      </c>
      <c r="F30" s="102">
        <f t="shared" si="0"/>
        <v>0</v>
      </c>
      <c r="G30" s="103" t="b">
        <v>0</v>
      </c>
      <c r="H30" s="102">
        <f t="shared" si="1"/>
        <v>0</v>
      </c>
      <c r="I30" s="100">
        <f>COUNTIF(Mannschaften!$B$5:$B$54,A30)</f>
        <v>0</v>
      </c>
      <c r="J30" s="151">
        <v>0</v>
      </c>
      <c r="K30" s="101" t="b">
        <v>0</v>
      </c>
      <c r="L30" s="102">
        <f t="shared" si="2"/>
        <v>0</v>
      </c>
      <c r="M30" s="103" t="b">
        <v>0</v>
      </c>
      <c r="N30" s="102">
        <f t="shared" si="3"/>
        <v>0</v>
      </c>
      <c r="O30" s="66" t="str">
        <f>IF((A30="ENDE")+(A30="---"),"---",LOOKUP(CONCATENATE(Deckblatt!$C$14,"-",Q30),'WK-Vorlagen'!B:B,'WK-Vorlagen'!H:H))</f>
        <v>---</v>
      </c>
      <c r="P30" s="66" t="str">
        <f>IF((A30="ENDE")+(A30="---"),"---",LOOKUP(CONCATENATE(Deckblatt!$C$14,"-",Q30),'WK-Vorlagen'!B:B,'WK-Vorlagen'!I:I))</f>
        <v>---</v>
      </c>
      <c r="Q30" s="234" t="s">
        <v>473</v>
      </c>
      <c r="R30" s="274" t="str">
        <f>IF((A30="ENDE")+(A30="---"),"---",IF(LOOKUP(CONCATENATE(Deckblatt!$C$14,"-",Q30),'WK-Vorlagen'!B:B,'WK-Vorlagen'!E:E)=0,"-",1))</f>
        <v>---</v>
      </c>
      <c r="S30" s="66" t="str">
        <f>IF((A30="ENDE")+(A30="---"),"---",IF(LOOKUP(CONCATENATE(Deckblatt!$C$14,"-",Q30),'WK-Vorlagen'!B:B,'WK-Vorlagen'!F:F)=0,"-",1))</f>
        <v>---</v>
      </c>
      <c r="T30" s="66" t="str">
        <f>IF((A30="ENDE")+(A30="---"),"---",IF(LOOKUP(CONCATENATE(Deckblatt!$C$14,"-",Q30),'WK-Vorlagen'!B:B,'WK-Vorlagen'!G:G)=0,"-",1))</f>
        <v>---</v>
      </c>
      <c r="U30" s="66">
        <f t="shared" si="4"/>
        <v>0</v>
      </c>
      <c r="V30" s="66">
        <f t="shared" si="5"/>
        <v>0</v>
      </c>
      <c r="W30" s="66">
        <f t="shared" si="6"/>
        <v>0</v>
      </c>
    </row>
    <row r="31" spans="1:23">
      <c r="A31" s="115" t="str">
        <f>IF((A30="ENDE")+(A30="---")+(Deckblatt!$C$14=""),"---",LOOKUP(CONCATENATE(Deckblatt!$C$14,"-",Q31),'WK-Vorlagen'!B:B,'WK-Vorlagen'!C:C))</f>
        <v>---</v>
      </c>
      <c r="B31" s="31" t="str">
        <f>IF((A31="ENDE")+(A31="---"),"---",LOOKUP(CONCATENATE(Deckblatt!$C$14,"-",Q31),'WK-Vorlagen'!B:B,'WK-Vorlagen'!D:D))</f>
        <v>---</v>
      </c>
      <c r="C31" s="100">
        <f>COUNTIF(Teilnehmer!$E$4:$E$999,A31)</f>
        <v>0</v>
      </c>
      <c r="D31" s="151">
        <v>0</v>
      </c>
      <c r="E31" s="101" t="b">
        <v>0</v>
      </c>
      <c r="F31" s="102">
        <f t="shared" si="0"/>
        <v>0</v>
      </c>
      <c r="G31" s="103" t="b">
        <v>0</v>
      </c>
      <c r="H31" s="102">
        <f t="shared" si="1"/>
        <v>0</v>
      </c>
      <c r="I31" s="100">
        <f>COUNTIF(Mannschaften!$B$5:$B$54,A31)</f>
        <v>0</v>
      </c>
      <c r="J31" s="151">
        <v>0</v>
      </c>
      <c r="K31" s="101" t="b">
        <v>0</v>
      </c>
      <c r="L31" s="102">
        <f t="shared" si="2"/>
        <v>0</v>
      </c>
      <c r="M31" s="103" t="b">
        <v>0</v>
      </c>
      <c r="N31" s="102">
        <f t="shared" si="3"/>
        <v>0</v>
      </c>
      <c r="O31" s="66" t="str">
        <f>IF((A31="ENDE")+(A31="---"),"---",LOOKUP(CONCATENATE(Deckblatt!$C$14,"-",Q31),'WK-Vorlagen'!B:B,'WK-Vorlagen'!H:H))</f>
        <v>---</v>
      </c>
      <c r="P31" s="66" t="str">
        <f>IF((A31="ENDE")+(A31="---"),"---",LOOKUP(CONCATENATE(Deckblatt!$C$14,"-",Q31),'WK-Vorlagen'!B:B,'WK-Vorlagen'!I:I))</f>
        <v>---</v>
      </c>
      <c r="Q31" s="234" t="s">
        <v>474</v>
      </c>
      <c r="R31" s="274" t="str">
        <f>IF((A31="ENDE")+(A31="---"),"---",IF(LOOKUP(CONCATENATE(Deckblatt!$C$14,"-",Q31),'WK-Vorlagen'!B:B,'WK-Vorlagen'!E:E)=0,"-",1))</f>
        <v>---</v>
      </c>
      <c r="S31" s="66" t="str">
        <f>IF((A31="ENDE")+(A31="---"),"---",IF(LOOKUP(CONCATENATE(Deckblatt!$C$14,"-",Q31),'WK-Vorlagen'!B:B,'WK-Vorlagen'!F:F)=0,"-",1))</f>
        <v>---</v>
      </c>
      <c r="T31" s="66" t="str">
        <f>IF((A31="ENDE")+(A31="---"),"---",IF(LOOKUP(CONCATENATE(Deckblatt!$C$14,"-",Q31),'WK-Vorlagen'!B:B,'WK-Vorlagen'!G:G)=0,"-",1))</f>
        <v>---</v>
      </c>
      <c r="U31" s="66">
        <f t="shared" si="4"/>
        <v>0</v>
      </c>
      <c r="V31" s="66">
        <f t="shared" si="5"/>
        <v>0</v>
      </c>
      <c r="W31" s="66">
        <f t="shared" si="6"/>
        <v>0</v>
      </c>
    </row>
    <row r="32" spans="1:23">
      <c r="A32" s="115" t="str">
        <f>IF((A31="ENDE")+(A31="---")+(Deckblatt!$C$14=""),"---",LOOKUP(CONCATENATE(Deckblatt!$C$14,"-",Q32),'WK-Vorlagen'!B:B,'WK-Vorlagen'!C:C))</f>
        <v>---</v>
      </c>
      <c r="B32" s="31" t="str">
        <f>IF((A32="ENDE")+(A32="---"),"---",LOOKUP(CONCATENATE(Deckblatt!$C$14,"-",Q32),'WK-Vorlagen'!B:B,'WK-Vorlagen'!D:D))</f>
        <v>---</v>
      </c>
      <c r="C32" s="100">
        <f>COUNTIF(Teilnehmer!$E$4:$E$999,A32)</f>
        <v>0</v>
      </c>
      <c r="D32" s="151">
        <v>0</v>
      </c>
      <c r="E32" s="101" t="b">
        <v>0</v>
      </c>
      <c r="F32" s="102">
        <f t="shared" si="0"/>
        <v>0</v>
      </c>
      <c r="G32" s="103" t="b">
        <v>0</v>
      </c>
      <c r="H32" s="102">
        <f t="shared" si="1"/>
        <v>0</v>
      </c>
      <c r="I32" s="100">
        <f>COUNTIF(Mannschaften!$B$5:$B$54,A32)</f>
        <v>0</v>
      </c>
      <c r="J32" s="151">
        <v>0</v>
      </c>
      <c r="K32" s="101" t="b">
        <v>0</v>
      </c>
      <c r="L32" s="102">
        <f t="shared" si="2"/>
        <v>0</v>
      </c>
      <c r="M32" s="103" t="b">
        <v>0</v>
      </c>
      <c r="N32" s="102">
        <f t="shared" si="3"/>
        <v>0</v>
      </c>
      <c r="O32" s="66" t="str">
        <f>IF((A32="ENDE")+(A32="---"),"---",LOOKUP(CONCATENATE(Deckblatt!$C$14,"-",Q32),'WK-Vorlagen'!B:B,'WK-Vorlagen'!H:H))</f>
        <v>---</v>
      </c>
      <c r="P32" s="66" t="str">
        <f>IF((A32="ENDE")+(A32="---"),"---",LOOKUP(CONCATENATE(Deckblatt!$C$14,"-",Q32),'WK-Vorlagen'!B:B,'WK-Vorlagen'!I:I))</f>
        <v>---</v>
      </c>
      <c r="Q32" s="234" t="s">
        <v>475</v>
      </c>
      <c r="R32" s="274" t="str">
        <f>IF((A32="ENDE")+(A32="---"),"---",IF(LOOKUP(CONCATENATE(Deckblatt!$C$14,"-",Q32),'WK-Vorlagen'!B:B,'WK-Vorlagen'!E:E)=0,"-",1))</f>
        <v>---</v>
      </c>
      <c r="S32" s="66" t="str">
        <f>IF((A32="ENDE")+(A32="---"),"---",IF(LOOKUP(CONCATENATE(Deckblatt!$C$14,"-",Q32),'WK-Vorlagen'!B:B,'WK-Vorlagen'!F:F)=0,"-",1))</f>
        <v>---</v>
      </c>
      <c r="T32" s="66" t="str">
        <f>IF((A32="ENDE")+(A32="---"),"---",IF(LOOKUP(CONCATENATE(Deckblatt!$C$14,"-",Q32),'WK-Vorlagen'!B:B,'WK-Vorlagen'!G:G)=0,"-",1))</f>
        <v>---</v>
      </c>
      <c r="U32" s="66">
        <f t="shared" si="4"/>
        <v>0</v>
      </c>
      <c r="V32" s="66">
        <f t="shared" si="5"/>
        <v>0</v>
      </c>
      <c r="W32" s="66">
        <f t="shared" si="6"/>
        <v>0</v>
      </c>
    </row>
    <row r="33" spans="1:23">
      <c r="A33" s="115" t="str">
        <f>IF((A32="ENDE")+(A32="---")+(Deckblatt!$C$14=""),"---",LOOKUP(CONCATENATE(Deckblatt!$C$14,"-",Q33),'WK-Vorlagen'!B:B,'WK-Vorlagen'!C:C))</f>
        <v>---</v>
      </c>
      <c r="B33" s="31" t="str">
        <f>IF((A33="ENDE")+(A33="---"),"---",LOOKUP(CONCATENATE(Deckblatt!$C$14,"-",Q33),'WK-Vorlagen'!B:B,'WK-Vorlagen'!D:D))</f>
        <v>---</v>
      </c>
      <c r="C33" s="100">
        <f>COUNTIF(Teilnehmer!$E$4:$E$999,A33)</f>
        <v>0</v>
      </c>
      <c r="D33" s="151">
        <v>0</v>
      </c>
      <c r="E33" s="101" t="b">
        <v>0</v>
      </c>
      <c r="F33" s="102">
        <f t="shared" si="0"/>
        <v>0</v>
      </c>
      <c r="G33" s="103" t="b">
        <v>0</v>
      </c>
      <c r="H33" s="102">
        <f t="shared" si="1"/>
        <v>0</v>
      </c>
      <c r="I33" s="100">
        <f>COUNTIF(Mannschaften!$B$5:$B$54,A33)</f>
        <v>0</v>
      </c>
      <c r="J33" s="151">
        <v>0</v>
      </c>
      <c r="K33" s="101" t="b">
        <v>0</v>
      </c>
      <c r="L33" s="102">
        <f t="shared" si="2"/>
        <v>0</v>
      </c>
      <c r="M33" s="103" t="b">
        <v>0</v>
      </c>
      <c r="N33" s="102">
        <f t="shared" si="3"/>
        <v>0</v>
      </c>
      <c r="O33" s="66" t="str">
        <f>IF((A33="ENDE")+(A33="---"),"---",LOOKUP(CONCATENATE(Deckblatt!$C$14,"-",Q33),'WK-Vorlagen'!B:B,'WK-Vorlagen'!H:H))</f>
        <v>---</v>
      </c>
      <c r="P33" s="66" t="str">
        <f>IF((A33="ENDE")+(A33="---"),"---",LOOKUP(CONCATENATE(Deckblatt!$C$14,"-",Q33),'WK-Vorlagen'!B:B,'WK-Vorlagen'!I:I))</f>
        <v>---</v>
      </c>
      <c r="Q33" s="234" t="s">
        <v>476</v>
      </c>
      <c r="R33" s="274" t="str">
        <f>IF((A33="ENDE")+(A33="---"),"---",IF(LOOKUP(CONCATENATE(Deckblatt!$C$14,"-",Q33),'WK-Vorlagen'!B:B,'WK-Vorlagen'!E:E)=0,"-",1))</f>
        <v>---</v>
      </c>
      <c r="S33" s="66" t="str">
        <f>IF((A33="ENDE")+(A33="---"),"---",IF(LOOKUP(CONCATENATE(Deckblatt!$C$14,"-",Q33),'WK-Vorlagen'!B:B,'WK-Vorlagen'!F:F)=0,"-",1))</f>
        <v>---</v>
      </c>
      <c r="T33" s="66" t="str">
        <f>IF((A33="ENDE")+(A33="---"),"---",IF(LOOKUP(CONCATENATE(Deckblatt!$C$14,"-",Q33),'WK-Vorlagen'!B:B,'WK-Vorlagen'!G:G)=0,"-",1))</f>
        <v>---</v>
      </c>
      <c r="U33" s="66">
        <f t="shared" si="4"/>
        <v>0</v>
      </c>
      <c r="V33" s="66">
        <f t="shared" si="5"/>
        <v>0</v>
      </c>
      <c r="W33" s="66">
        <f t="shared" si="6"/>
        <v>0</v>
      </c>
    </row>
    <row r="34" spans="1:23">
      <c r="A34" s="115" t="str">
        <f>IF((A33="ENDE")+(A33="---")+(Deckblatt!$C$14=""),"---",LOOKUP(CONCATENATE(Deckblatt!$C$14,"-",Q34),'WK-Vorlagen'!B:B,'WK-Vorlagen'!C:C))</f>
        <v>---</v>
      </c>
      <c r="B34" s="31" t="str">
        <f>IF((A34="ENDE")+(A34="---"),"---",LOOKUP(CONCATENATE(Deckblatt!$C$14,"-",Q34),'WK-Vorlagen'!B:B,'WK-Vorlagen'!D:D))</f>
        <v>---</v>
      </c>
      <c r="C34" s="100">
        <f>COUNTIF(Teilnehmer!$E$4:$E$999,A34)</f>
        <v>0</v>
      </c>
      <c r="D34" s="151">
        <v>0</v>
      </c>
      <c r="E34" s="101" t="b">
        <v>0</v>
      </c>
      <c r="F34" s="102">
        <f t="shared" si="0"/>
        <v>0</v>
      </c>
      <c r="G34" s="103" t="b">
        <v>0</v>
      </c>
      <c r="H34" s="102">
        <f t="shared" si="1"/>
        <v>0</v>
      </c>
      <c r="I34" s="100">
        <f>COUNTIF(Mannschaften!$B$5:$B$54,A34)</f>
        <v>0</v>
      </c>
      <c r="J34" s="151">
        <v>0</v>
      </c>
      <c r="K34" s="101" t="b">
        <v>0</v>
      </c>
      <c r="L34" s="102">
        <f t="shared" si="2"/>
        <v>0</v>
      </c>
      <c r="M34" s="103" t="b">
        <v>0</v>
      </c>
      <c r="N34" s="102">
        <f t="shared" si="3"/>
        <v>0</v>
      </c>
      <c r="O34" s="66" t="str">
        <f>IF((A34="ENDE")+(A34="---"),"---",LOOKUP(CONCATENATE(Deckblatt!$C$14,"-",Q34),'WK-Vorlagen'!B:B,'WK-Vorlagen'!H:H))</f>
        <v>---</v>
      </c>
      <c r="P34" s="66" t="str">
        <f>IF((A34="ENDE")+(A34="---"),"---",LOOKUP(CONCATENATE(Deckblatt!$C$14,"-",Q34),'WK-Vorlagen'!B:B,'WK-Vorlagen'!I:I))</f>
        <v>---</v>
      </c>
      <c r="Q34" s="234" t="s">
        <v>477</v>
      </c>
      <c r="R34" s="274" t="str">
        <f>IF((A34="ENDE")+(A34="---"),"---",IF(LOOKUP(CONCATENATE(Deckblatt!$C$14,"-",Q34),'WK-Vorlagen'!B:B,'WK-Vorlagen'!E:E)=0,"-",1))</f>
        <v>---</v>
      </c>
      <c r="S34" s="66" t="str">
        <f>IF((A34="ENDE")+(A34="---"),"---",IF(LOOKUP(CONCATENATE(Deckblatt!$C$14,"-",Q34),'WK-Vorlagen'!B:B,'WK-Vorlagen'!F:F)=0,"-",1))</f>
        <v>---</v>
      </c>
      <c r="T34" s="66" t="str">
        <f>IF((A34="ENDE")+(A34="---"),"---",IF(LOOKUP(CONCATENATE(Deckblatt!$C$14,"-",Q34),'WK-Vorlagen'!B:B,'WK-Vorlagen'!G:G)=0,"-",1))</f>
        <v>---</v>
      </c>
      <c r="U34" s="66">
        <f t="shared" si="4"/>
        <v>0</v>
      </c>
      <c r="V34" s="66">
        <f t="shared" si="5"/>
        <v>0</v>
      </c>
      <c r="W34" s="66">
        <f t="shared" si="6"/>
        <v>0</v>
      </c>
    </row>
    <row r="35" spans="1:23">
      <c r="A35" s="115" t="str">
        <f>IF((A34="ENDE")+(A34="---")+(Deckblatt!$C$14=""),"---",LOOKUP(CONCATENATE(Deckblatt!$C$14,"-",Q35),'WK-Vorlagen'!B:B,'WK-Vorlagen'!C:C))</f>
        <v>---</v>
      </c>
      <c r="B35" s="31" t="str">
        <f>IF((A35="ENDE")+(A35="---"),"---",LOOKUP(CONCATENATE(Deckblatt!$C$14,"-",Q35),'WK-Vorlagen'!B:B,'WK-Vorlagen'!D:D))</f>
        <v>---</v>
      </c>
      <c r="C35" s="100">
        <f>COUNTIF(Teilnehmer!$E$4:$E$999,A35)</f>
        <v>0</v>
      </c>
      <c r="D35" s="151">
        <v>0</v>
      </c>
      <c r="E35" s="101" t="b">
        <v>0</v>
      </c>
      <c r="F35" s="102">
        <f t="shared" si="0"/>
        <v>0</v>
      </c>
      <c r="G35" s="103" t="b">
        <v>0</v>
      </c>
      <c r="H35" s="102">
        <f t="shared" si="1"/>
        <v>0</v>
      </c>
      <c r="I35" s="100">
        <f>COUNTIF(Mannschaften!$B$5:$B$54,A35)</f>
        <v>0</v>
      </c>
      <c r="J35" s="151">
        <v>0</v>
      </c>
      <c r="K35" s="101" t="b">
        <v>0</v>
      </c>
      <c r="L35" s="102">
        <f t="shared" si="2"/>
        <v>0</v>
      </c>
      <c r="M35" s="103" t="b">
        <v>0</v>
      </c>
      <c r="N35" s="102">
        <f t="shared" si="3"/>
        <v>0</v>
      </c>
      <c r="O35" s="66" t="str">
        <f>IF((A35="ENDE")+(A35="---"),"---",LOOKUP(CONCATENATE(Deckblatt!$C$14,"-",Q35),'WK-Vorlagen'!B:B,'WK-Vorlagen'!H:H))</f>
        <v>---</v>
      </c>
      <c r="P35" s="66" t="str">
        <f>IF((A35="ENDE")+(A35="---"),"---",LOOKUP(CONCATENATE(Deckblatt!$C$14,"-",Q35),'WK-Vorlagen'!B:B,'WK-Vorlagen'!I:I))</f>
        <v>---</v>
      </c>
      <c r="Q35" s="234" t="s">
        <v>478</v>
      </c>
      <c r="R35" s="274" t="str">
        <f>IF((A35="ENDE")+(A35="---"),"---",IF(LOOKUP(CONCATENATE(Deckblatt!$C$14,"-",Q35),'WK-Vorlagen'!B:B,'WK-Vorlagen'!E:E)=0,"-",1))</f>
        <v>---</v>
      </c>
      <c r="S35" s="66" t="str">
        <f>IF((A35="ENDE")+(A35="---"),"---",IF(LOOKUP(CONCATENATE(Deckblatt!$C$14,"-",Q35),'WK-Vorlagen'!B:B,'WK-Vorlagen'!F:F)=0,"-",1))</f>
        <v>---</v>
      </c>
      <c r="T35" s="66" t="str">
        <f>IF((A35="ENDE")+(A35="---"),"---",IF(LOOKUP(CONCATENATE(Deckblatt!$C$14,"-",Q35),'WK-Vorlagen'!B:B,'WK-Vorlagen'!G:G)=0,"-",1))</f>
        <v>---</v>
      </c>
      <c r="U35" s="66">
        <f t="shared" si="4"/>
        <v>0</v>
      </c>
      <c r="V35" s="66">
        <f t="shared" si="5"/>
        <v>0</v>
      </c>
      <c r="W35" s="66">
        <f t="shared" si="6"/>
        <v>0</v>
      </c>
    </row>
    <row r="36" spans="1:23">
      <c r="A36" s="115" t="str">
        <f>IF((A35="ENDE")+(A35="---")+(Deckblatt!$C$14=""),"---",LOOKUP(CONCATENATE(Deckblatt!$C$14,"-",Q36),'WK-Vorlagen'!B:B,'WK-Vorlagen'!C:C))</f>
        <v>---</v>
      </c>
      <c r="B36" s="31" t="str">
        <f>IF((A36="ENDE")+(A36="---"),"---",LOOKUP(CONCATENATE(Deckblatt!$C$14,"-",Q36),'WK-Vorlagen'!B:B,'WK-Vorlagen'!D:D))</f>
        <v>---</v>
      </c>
      <c r="C36" s="100">
        <f>COUNTIF(Teilnehmer!$E$4:$E$999,A36)</f>
        <v>0</v>
      </c>
      <c r="D36" s="151">
        <v>0</v>
      </c>
      <c r="E36" s="101" t="b">
        <v>0</v>
      </c>
      <c r="F36" s="102">
        <f t="shared" si="0"/>
        <v>0</v>
      </c>
      <c r="G36" s="103" t="b">
        <v>0</v>
      </c>
      <c r="H36" s="102">
        <f t="shared" si="1"/>
        <v>0</v>
      </c>
      <c r="I36" s="100">
        <f>COUNTIF(Mannschaften!$B$5:$B$54,A36)</f>
        <v>0</v>
      </c>
      <c r="J36" s="151">
        <v>0</v>
      </c>
      <c r="K36" s="101" t="b">
        <v>0</v>
      </c>
      <c r="L36" s="102">
        <f t="shared" si="2"/>
        <v>0</v>
      </c>
      <c r="M36" s="103" t="b">
        <v>0</v>
      </c>
      <c r="N36" s="102">
        <f t="shared" si="3"/>
        <v>0</v>
      </c>
      <c r="O36" s="66" t="str">
        <f>IF((A36="ENDE")+(A36="---"),"---",LOOKUP(CONCATENATE(Deckblatt!$C$14,"-",Q36),'WK-Vorlagen'!B:B,'WK-Vorlagen'!H:H))</f>
        <v>---</v>
      </c>
      <c r="P36" s="66" t="str">
        <f>IF((A36="ENDE")+(A36="---"),"---",LOOKUP(CONCATENATE(Deckblatt!$C$14,"-",Q36),'WK-Vorlagen'!B:B,'WK-Vorlagen'!I:I))</f>
        <v>---</v>
      </c>
      <c r="Q36" s="234" t="s">
        <v>479</v>
      </c>
      <c r="R36" s="274" t="str">
        <f>IF((A36="ENDE")+(A36="---"),"---",IF(LOOKUP(CONCATENATE(Deckblatt!$C$14,"-",Q36),'WK-Vorlagen'!B:B,'WK-Vorlagen'!E:E)=0,"-",1))</f>
        <v>---</v>
      </c>
      <c r="S36" s="66" t="str">
        <f>IF((A36="ENDE")+(A36="---"),"---",IF(LOOKUP(CONCATENATE(Deckblatt!$C$14,"-",Q36),'WK-Vorlagen'!B:B,'WK-Vorlagen'!F:F)=0,"-",1))</f>
        <v>---</v>
      </c>
      <c r="T36" s="66" t="str">
        <f>IF((A36="ENDE")+(A36="---"),"---",IF(LOOKUP(CONCATENATE(Deckblatt!$C$14,"-",Q36),'WK-Vorlagen'!B:B,'WK-Vorlagen'!G:G)=0,"-",1))</f>
        <v>---</v>
      </c>
      <c r="U36" s="66">
        <f t="shared" si="4"/>
        <v>0</v>
      </c>
      <c r="V36" s="66">
        <f t="shared" si="5"/>
        <v>0</v>
      </c>
      <c r="W36" s="66">
        <f t="shared" si="6"/>
        <v>0</v>
      </c>
    </row>
    <row r="37" spans="1:23">
      <c r="A37" s="115" t="str">
        <f>IF((A36="ENDE")+(A36="---")+(Deckblatt!$C$14=""),"---",LOOKUP(CONCATENATE(Deckblatt!$C$14,"-",Q37),'WK-Vorlagen'!B:B,'WK-Vorlagen'!C:C))</f>
        <v>---</v>
      </c>
      <c r="B37" s="31" t="str">
        <f>IF((A37="ENDE")+(A37="---"),"---",LOOKUP(CONCATENATE(Deckblatt!$C$14,"-",Q37),'WK-Vorlagen'!B:B,'WK-Vorlagen'!D:D))</f>
        <v>---</v>
      </c>
      <c r="C37" s="100">
        <f>COUNTIF(Teilnehmer!$E$4:$E$999,A37)</f>
        <v>0</v>
      </c>
      <c r="D37" s="151">
        <v>0</v>
      </c>
      <c r="E37" s="101" t="b">
        <v>0</v>
      </c>
      <c r="F37" s="102">
        <f t="shared" si="0"/>
        <v>0</v>
      </c>
      <c r="G37" s="103" t="b">
        <v>0</v>
      </c>
      <c r="H37" s="102">
        <f t="shared" si="1"/>
        <v>0</v>
      </c>
      <c r="I37" s="100">
        <f>COUNTIF(Mannschaften!$B$5:$B$54,A37)</f>
        <v>0</v>
      </c>
      <c r="J37" s="151">
        <v>0</v>
      </c>
      <c r="K37" s="101" t="b">
        <v>0</v>
      </c>
      <c r="L37" s="102">
        <f t="shared" si="2"/>
        <v>0</v>
      </c>
      <c r="M37" s="103" t="b">
        <v>0</v>
      </c>
      <c r="N37" s="102">
        <f t="shared" si="3"/>
        <v>0</v>
      </c>
      <c r="O37" s="66" t="str">
        <f>IF((A37="ENDE")+(A37="---"),"---",LOOKUP(CONCATENATE(Deckblatt!$C$14,"-",Q37),'WK-Vorlagen'!B:B,'WK-Vorlagen'!H:H))</f>
        <v>---</v>
      </c>
      <c r="P37" s="66" t="str">
        <f>IF((A37="ENDE")+(A37="---"),"---",LOOKUP(CONCATENATE(Deckblatt!$C$14,"-",Q37),'WK-Vorlagen'!B:B,'WK-Vorlagen'!I:I))</f>
        <v>---</v>
      </c>
      <c r="Q37" s="234" t="s">
        <v>480</v>
      </c>
      <c r="R37" s="274" t="str">
        <f>IF((A37="ENDE")+(A37="---"),"---",IF(LOOKUP(CONCATENATE(Deckblatt!$C$14,"-",Q37),'WK-Vorlagen'!B:B,'WK-Vorlagen'!E:E)=0,"-",1))</f>
        <v>---</v>
      </c>
      <c r="S37" s="66" t="str">
        <f>IF((A37="ENDE")+(A37="---"),"---",IF(LOOKUP(CONCATENATE(Deckblatt!$C$14,"-",Q37),'WK-Vorlagen'!B:B,'WK-Vorlagen'!F:F)=0,"-",1))</f>
        <v>---</v>
      </c>
      <c r="T37" s="66" t="str">
        <f>IF((A37="ENDE")+(A37="---"),"---",IF(LOOKUP(CONCATENATE(Deckblatt!$C$14,"-",Q37),'WK-Vorlagen'!B:B,'WK-Vorlagen'!G:G)=0,"-",1))</f>
        <v>---</v>
      </c>
      <c r="U37" s="66">
        <f t="shared" si="4"/>
        <v>0</v>
      </c>
      <c r="V37" s="66">
        <f t="shared" si="5"/>
        <v>0</v>
      </c>
      <c r="W37" s="66">
        <f t="shared" si="6"/>
        <v>0</v>
      </c>
    </row>
    <row r="38" spans="1:23">
      <c r="A38" s="115" t="str">
        <f>IF((A37="ENDE")+(A37="---")+(Deckblatt!$C$14=""),"---",LOOKUP(CONCATENATE(Deckblatt!$C$14,"-",Q38),'WK-Vorlagen'!B:B,'WK-Vorlagen'!C:C))</f>
        <v>---</v>
      </c>
      <c r="B38" s="31" t="str">
        <f>IF((A38="ENDE")+(A38="---"),"---",LOOKUP(CONCATENATE(Deckblatt!$C$14,"-",Q38),'WK-Vorlagen'!B:B,'WK-Vorlagen'!D:D))</f>
        <v>---</v>
      </c>
      <c r="C38" s="100">
        <f>COUNTIF(Teilnehmer!$E$4:$E$999,A38)</f>
        <v>0</v>
      </c>
      <c r="D38" s="151">
        <v>0</v>
      </c>
      <c r="E38" s="101" t="b">
        <v>0</v>
      </c>
      <c r="F38" s="102">
        <f t="shared" si="0"/>
        <v>0</v>
      </c>
      <c r="G38" s="103" t="b">
        <v>0</v>
      </c>
      <c r="H38" s="102">
        <f t="shared" si="1"/>
        <v>0</v>
      </c>
      <c r="I38" s="100">
        <f>COUNTIF(Mannschaften!$B$5:$B$54,A38)</f>
        <v>0</v>
      </c>
      <c r="J38" s="151">
        <v>0</v>
      </c>
      <c r="K38" s="101" t="b">
        <v>0</v>
      </c>
      <c r="L38" s="102">
        <f t="shared" si="2"/>
        <v>0</v>
      </c>
      <c r="M38" s="103" t="b">
        <v>0</v>
      </c>
      <c r="N38" s="102">
        <f t="shared" si="3"/>
        <v>0</v>
      </c>
      <c r="O38" s="66" t="str">
        <f>IF((A38="ENDE")+(A38="---"),"---",LOOKUP(CONCATENATE(Deckblatt!$C$14,"-",Q38),'WK-Vorlagen'!B:B,'WK-Vorlagen'!H:H))</f>
        <v>---</v>
      </c>
      <c r="P38" s="66" t="str">
        <f>IF((A38="ENDE")+(A38="---"),"---",LOOKUP(CONCATENATE(Deckblatt!$C$14,"-",Q38),'WK-Vorlagen'!B:B,'WK-Vorlagen'!I:I))</f>
        <v>---</v>
      </c>
      <c r="Q38" s="234" t="s">
        <v>481</v>
      </c>
      <c r="R38" s="274" t="str">
        <f>IF((A38="ENDE")+(A38="---"),"---",IF(LOOKUP(CONCATENATE(Deckblatt!$C$14,"-",Q38),'WK-Vorlagen'!B:B,'WK-Vorlagen'!E:E)=0,"-",1))</f>
        <v>---</v>
      </c>
      <c r="S38" s="66" t="str">
        <f>IF((A38="ENDE")+(A38="---"),"---",IF(LOOKUP(CONCATENATE(Deckblatt!$C$14,"-",Q38),'WK-Vorlagen'!B:B,'WK-Vorlagen'!F:F)=0,"-",1))</f>
        <v>---</v>
      </c>
      <c r="T38" s="66" t="str">
        <f>IF((A38="ENDE")+(A38="---"),"---",IF(LOOKUP(CONCATENATE(Deckblatt!$C$14,"-",Q38),'WK-Vorlagen'!B:B,'WK-Vorlagen'!G:G)=0,"-",1))</f>
        <v>---</v>
      </c>
      <c r="U38" s="66">
        <f t="shared" si="4"/>
        <v>0</v>
      </c>
      <c r="V38" s="66">
        <f t="shared" si="5"/>
        <v>0</v>
      </c>
      <c r="W38" s="66">
        <f t="shared" si="6"/>
        <v>0</v>
      </c>
    </row>
    <row r="39" spans="1:23">
      <c r="A39" s="115" t="str">
        <f>IF((A38="ENDE")+(A38="---")+(Deckblatt!$C$14=""),"---",LOOKUP(CONCATENATE(Deckblatt!$C$14,"-",Q39),'WK-Vorlagen'!B:B,'WK-Vorlagen'!C:C))</f>
        <v>---</v>
      </c>
      <c r="B39" s="31" t="str">
        <f>IF((A39="ENDE")+(A39="---"),"---",LOOKUP(CONCATENATE(Deckblatt!$C$14,"-",Q39),'WK-Vorlagen'!B:B,'WK-Vorlagen'!D:D))</f>
        <v>---</v>
      </c>
      <c r="C39" s="100">
        <f>COUNTIF(Teilnehmer!$E$4:$E$999,A39)</f>
        <v>0</v>
      </c>
      <c r="D39" s="151">
        <v>0</v>
      </c>
      <c r="E39" s="101" t="b">
        <v>0</v>
      </c>
      <c r="F39" s="102">
        <f t="shared" si="0"/>
        <v>0</v>
      </c>
      <c r="G39" s="103" t="b">
        <v>0</v>
      </c>
      <c r="H39" s="102">
        <f t="shared" si="1"/>
        <v>0</v>
      </c>
      <c r="I39" s="100">
        <f>COUNTIF(Mannschaften!$B$5:$B$54,A39)</f>
        <v>0</v>
      </c>
      <c r="J39" s="151">
        <v>0</v>
      </c>
      <c r="K39" s="101" t="b">
        <v>0</v>
      </c>
      <c r="L39" s="102">
        <f t="shared" si="2"/>
        <v>0</v>
      </c>
      <c r="M39" s="103" t="b">
        <v>0</v>
      </c>
      <c r="N39" s="102">
        <f t="shared" si="3"/>
        <v>0</v>
      </c>
      <c r="O39" s="66" t="str">
        <f>IF((A39="ENDE")+(A39="---"),"---",LOOKUP(CONCATENATE(Deckblatt!$C$14,"-",Q39),'WK-Vorlagen'!B:B,'WK-Vorlagen'!H:H))</f>
        <v>---</v>
      </c>
      <c r="P39" s="66" t="str">
        <f>IF((A39="ENDE")+(A39="---"),"---",LOOKUP(CONCATENATE(Deckblatt!$C$14,"-",Q39),'WK-Vorlagen'!B:B,'WK-Vorlagen'!I:I))</f>
        <v>---</v>
      </c>
      <c r="Q39" s="234" t="s">
        <v>482</v>
      </c>
      <c r="R39" s="274" t="str">
        <f>IF((A39="ENDE")+(A39="---"),"---",IF(LOOKUP(CONCATENATE(Deckblatt!$C$14,"-",Q39),'WK-Vorlagen'!B:B,'WK-Vorlagen'!E:E)=0,"-",1))</f>
        <v>---</v>
      </c>
      <c r="S39" s="66" t="str">
        <f>IF((A39="ENDE")+(A39="---"),"---",IF(LOOKUP(CONCATENATE(Deckblatt!$C$14,"-",Q39),'WK-Vorlagen'!B:B,'WK-Vorlagen'!F:F)=0,"-",1))</f>
        <v>---</v>
      </c>
      <c r="T39" s="66" t="str">
        <f>IF((A39="ENDE")+(A39="---"),"---",IF(LOOKUP(CONCATENATE(Deckblatt!$C$14,"-",Q39),'WK-Vorlagen'!B:B,'WK-Vorlagen'!G:G)=0,"-",1))</f>
        <v>---</v>
      </c>
      <c r="U39" s="66">
        <f t="shared" si="4"/>
        <v>0</v>
      </c>
      <c r="V39" s="66">
        <f t="shared" si="5"/>
        <v>0</v>
      </c>
      <c r="W39" s="66">
        <f t="shared" si="6"/>
        <v>0</v>
      </c>
    </row>
    <row r="40" spans="1:23">
      <c r="A40" s="115" t="str">
        <f>IF((A39="ENDE")+(A39="---")+(Deckblatt!$C$14=""),"---",LOOKUP(CONCATENATE(Deckblatt!$C$14,"-",Q40),'WK-Vorlagen'!B:B,'WK-Vorlagen'!C:C))</f>
        <v>---</v>
      </c>
      <c r="B40" s="31" t="str">
        <f>IF((A40="ENDE")+(A40="---"),"---",LOOKUP(CONCATENATE(Deckblatt!$C$14,"-",Q40),'WK-Vorlagen'!B:B,'WK-Vorlagen'!D:D))</f>
        <v>---</v>
      </c>
      <c r="C40" s="100">
        <f>COUNTIF(Teilnehmer!$E$4:$E$999,A40)</f>
        <v>0</v>
      </c>
      <c r="D40" s="151">
        <v>0</v>
      </c>
      <c r="E40" s="101" t="b">
        <v>0</v>
      </c>
      <c r="F40" s="102">
        <f t="shared" si="0"/>
        <v>0</v>
      </c>
      <c r="G40" s="103" t="b">
        <v>0</v>
      </c>
      <c r="H40" s="102">
        <f t="shared" si="1"/>
        <v>0</v>
      </c>
      <c r="I40" s="100">
        <f>COUNTIF(Mannschaften!$B$5:$B$54,A40)</f>
        <v>0</v>
      </c>
      <c r="J40" s="151">
        <v>0</v>
      </c>
      <c r="K40" s="101" t="b">
        <v>0</v>
      </c>
      <c r="L40" s="102">
        <f t="shared" si="2"/>
        <v>0</v>
      </c>
      <c r="M40" s="103" t="b">
        <v>0</v>
      </c>
      <c r="N40" s="102">
        <f t="shared" si="3"/>
        <v>0</v>
      </c>
      <c r="O40" s="66" t="str">
        <f>IF((A40="ENDE")+(A40="---"),"---",LOOKUP(CONCATENATE(Deckblatt!$C$14,"-",Q40),'WK-Vorlagen'!B:B,'WK-Vorlagen'!H:H))</f>
        <v>---</v>
      </c>
      <c r="P40" s="66" t="str">
        <f>IF((A40="ENDE")+(A40="---"),"---",LOOKUP(CONCATENATE(Deckblatt!$C$14,"-",Q40),'WK-Vorlagen'!B:B,'WK-Vorlagen'!I:I))</f>
        <v>---</v>
      </c>
      <c r="Q40" s="234" t="s">
        <v>483</v>
      </c>
      <c r="R40" s="274" t="str">
        <f>IF((A40="ENDE")+(A40="---"),"---",IF(LOOKUP(CONCATENATE(Deckblatt!$C$14,"-",Q40),'WK-Vorlagen'!B:B,'WK-Vorlagen'!E:E)=0,"-",1))</f>
        <v>---</v>
      </c>
      <c r="S40" s="66" t="str">
        <f>IF((A40="ENDE")+(A40="---"),"---",IF(LOOKUP(CONCATENATE(Deckblatt!$C$14,"-",Q40),'WK-Vorlagen'!B:B,'WK-Vorlagen'!F:F)=0,"-",1))</f>
        <v>---</v>
      </c>
      <c r="T40" s="66" t="str">
        <f>IF((A40="ENDE")+(A40="---"),"---",IF(LOOKUP(CONCATENATE(Deckblatt!$C$14,"-",Q40),'WK-Vorlagen'!B:B,'WK-Vorlagen'!G:G)=0,"-",1))</f>
        <v>---</v>
      </c>
      <c r="U40" s="66">
        <f t="shared" si="4"/>
        <v>0</v>
      </c>
      <c r="V40" s="66">
        <f t="shared" si="5"/>
        <v>0</v>
      </c>
      <c r="W40" s="66">
        <f t="shared" si="6"/>
        <v>0</v>
      </c>
    </row>
    <row r="41" spans="1:23">
      <c r="A41" s="115" t="str">
        <f>IF((A40="ENDE")+(A40="---")+(Deckblatt!$C$14=""),"---",LOOKUP(CONCATENATE(Deckblatt!$C$14,"-",Q41),'WK-Vorlagen'!B:B,'WK-Vorlagen'!C:C))</f>
        <v>---</v>
      </c>
      <c r="B41" s="31" t="str">
        <f>IF((A41="ENDE")+(A41="---"),"---",LOOKUP(CONCATENATE(Deckblatt!$C$14,"-",Q41),'WK-Vorlagen'!B:B,'WK-Vorlagen'!D:D))</f>
        <v>---</v>
      </c>
      <c r="C41" s="100">
        <f>COUNTIF(Teilnehmer!$E$4:$E$999,A41)</f>
        <v>0</v>
      </c>
      <c r="D41" s="151">
        <v>0</v>
      </c>
      <c r="E41" s="101" t="b">
        <v>0</v>
      </c>
      <c r="F41" s="102">
        <f t="shared" si="0"/>
        <v>0</v>
      </c>
      <c r="G41" s="103" t="b">
        <v>0</v>
      </c>
      <c r="H41" s="102">
        <f t="shared" si="1"/>
        <v>0</v>
      </c>
      <c r="I41" s="100">
        <f>COUNTIF(Mannschaften!$B$5:$B$54,A41)</f>
        <v>0</v>
      </c>
      <c r="J41" s="151">
        <v>0</v>
      </c>
      <c r="K41" s="101" t="b">
        <v>0</v>
      </c>
      <c r="L41" s="102">
        <f t="shared" si="2"/>
        <v>0</v>
      </c>
      <c r="M41" s="103" t="b">
        <v>0</v>
      </c>
      <c r="N41" s="102">
        <f t="shared" si="3"/>
        <v>0</v>
      </c>
      <c r="O41" s="66" t="str">
        <f>IF((A41="ENDE")+(A41="---"),"---",LOOKUP(CONCATENATE(Deckblatt!$C$14,"-",Q41),'WK-Vorlagen'!B:B,'WK-Vorlagen'!H:H))</f>
        <v>---</v>
      </c>
      <c r="P41" s="66" t="str">
        <f>IF((A41="ENDE")+(A41="---"),"---",LOOKUP(CONCATENATE(Deckblatt!$C$14,"-",Q41),'WK-Vorlagen'!B:B,'WK-Vorlagen'!I:I))</f>
        <v>---</v>
      </c>
      <c r="Q41" s="234" t="s">
        <v>484</v>
      </c>
      <c r="R41" s="274" t="str">
        <f>IF((A41="ENDE")+(A41="---"),"---",IF(LOOKUP(CONCATENATE(Deckblatt!$C$14,"-",Q41),'WK-Vorlagen'!B:B,'WK-Vorlagen'!E:E)=0,"-",1))</f>
        <v>---</v>
      </c>
      <c r="S41" s="66" t="str">
        <f>IF((A41="ENDE")+(A41="---"),"---",IF(LOOKUP(CONCATENATE(Deckblatt!$C$14,"-",Q41),'WK-Vorlagen'!B:B,'WK-Vorlagen'!F:F)=0,"-",1))</f>
        <v>---</v>
      </c>
      <c r="T41" s="66" t="str">
        <f>IF((A41="ENDE")+(A41="---"),"---",IF(LOOKUP(CONCATENATE(Deckblatt!$C$14,"-",Q41),'WK-Vorlagen'!B:B,'WK-Vorlagen'!G:G)=0,"-",1))</f>
        <v>---</v>
      </c>
      <c r="U41" s="66">
        <f t="shared" si="4"/>
        <v>0</v>
      </c>
      <c r="V41" s="66">
        <f t="shared" si="5"/>
        <v>0</v>
      </c>
      <c r="W41" s="66">
        <f t="shared" si="6"/>
        <v>0</v>
      </c>
    </row>
    <row r="42" spans="1:23">
      <c r="A42" s="115" t="str">
        <f>IF((A41="ENDE")+(A41="---")+(Deckblatt!$C$14=""),"---",LOOKUP(CONCATENATE(Deckblatt!$C$14,"-",Q42),'WK-Vorlagen'!B:B,'WK-Vorlagen'!C:C))</f>
        <v>---</v>
      </c>
      <c r="B42" s="31" t="str">
        <f>IF((A42="ENDE")+(A42="---"),"---",LOOKUP(CONCATENATE(Deckblatt!$C$14,"-",Q42),'WK-Vorlagen'!B:B,'WK-Vorlagen'!D:D))</f>
        <v>---</v>
      </c>
      <c r="C42" s="100">
        <f>COUNTIF(Teilnehmer!$E$4:$E$999,A42)</f>
        <v>0</v>
      </c>
      <c r="D42" s="151">
        <v>0</v>
      </c>
      <c r="E42" s="101" t="b">
        <v>0</v>
      </c>
      <c r="F42" s="102">
        <f t="shared" si="0"/>
        <v>0</v>
      </c>
      <c r="G42" s="103" t="b">
        <v>0</v>
      </c>
      <c r="H42" s="102">
        <f t="shared" si="1"/>
        <v>0</v>
      </c>
      <c r="I42" s="100">
        <f>COUNTIF(Mannschaften!$B$5:$B$54,A42)</f>
        <v>0</v>
      </c>
      <c r="J42" s="151">
        <v>0</v>
      </c>
      <c r="K42" s="101" t="b">
        <v>0</v>
      </c>
      <c r="L42" s="102">
        <f t="shared" si="2"/>
        <v>0</v>
      </c>
      <c r="M42" s="103" t="b">
        <v>0</v>
      </c>
      <c r="N42" s="102">
        <f t="shared" si="3"/>
        <v>0</v>
      </c>
      <c r="O42" s="66" t="str">
        <f>IF((A42="ENDE")+(A42="---"),"---",LOOKUP(CONCATENATE(Deckblatt!$C$14,"-",Q42),'WK-Vorlagen'!B:B,'WK-Vorlagen'!H:H))</f>
        <v>---</v>
      </c>
      <c r="P42" s="66" t="str">
        <f>IF((A42="ENDE")+(A42="---"),"---",LOOKUP(CONCATENATE(Deckblatt!$C$14,"-",Q42),'WK-Vorlagen'!B:B,'WK-Vorlagen'!I:I))</f>
        <v>---</v>
      </c>
      <c r="Q42" s="234" t="s">
        <v>485</v>
      </c>
      <c r="R42" s="274" t="str">
        <f>IF((A42="ENDE")+(A42="---"),"---",IF(LOOKUP(CONCATENATE(Deckblatt!$C$14,"-",Q42),'WK-Vorlagen'!B:B,'WK-Vorlagen'!E:E)=0,"-",1))</f>
        <v>---</v>
      </c>
      <c r="S42" s="66" t="str">
        <f>IF((A42="ENDE")+(A42="---"),"---",IF(LOOKUP(CONCATENATE(Deckblatt!$C$14,"-",Q42),'WK-Vorlagen'!B:B,'WK-Vorlagen'!F:F)=0,"-",1))</f>
        <v>---</v>
      </c>
      <c r="T42" s="66" t="str">
        <f>IF((A42="ENDE")+(A42="---"),"---",IF(LOOKUP(CONCATENATE(Deckblatt!$C$14,"-",Q42),'WK-Vorlagen'!B:B,'WK-Vorlagen'!G:G)=0,"-",1))</f>
        <v>---</v>
      </c>
      <c r="U42" s="66">
        <f t="shared" si="4"/>
        <v>0</v>
      </c>
      <c r="V42" s="66">
        <f t="shared" si="5"/>
        <v>0</v>
      </c>
      <c r="W42" s="66">
        <f t="shared" si="6"/>
        <v>0</v>
      </c>
    </row>
    <row r="43" spans="1:23">
      <c r="A43" s="115" t="str">
        <f>IF((A42="ENDE")+(A42="---")+(Deckblatt!$C$14=""),"---",LOOKUP(CONCATENATE(Deckblatt!$C$14,"-",Q43),'WK-Vorlagen'!B:B,'WK-Vorlagen'!C:C))</f>
        <v>---</v>
      </c>
      <c r="B43" s="31" t="str">
        <f>IF((A43="ENDE")+(A43="---"),"---",LOOKUP(CONCATENATE(Deckblatt!$C$14,"-",Q43),'WK-Vorlagen'!B:B,'WK-Vorlagen'!D:D))</f>
        <v>---</v>
      </c>
      <c r="C43" s="100">
        <f>COUNTIF(Teilnehmer!$E$4:$E$999,A43)</f>
        <v>0</v>
      </c>
      <c r="D43" s="151">
        <v>0</v>
      </c>
      <c r="E43" s="101" t="b">
        <v>0</v>
      </c>
      <c r="F43" s="102">
        <f t="shared" si="0"/>
        <v>0</v>
      </c>
      <c r="G43" s="103" t="b">
        <v>0</v>
      </c>
      <c r="H43" s="102">
        <f t="shared" si="1"/>
        <v>0</v>
      </c>
      <c r="I43" s="100">
        <f>COUNTIF(Mannschaften!$B$5:$B$54,A43)</f>
        <v>0</v>
      </c>
      <c r="J43" s="151">
        <v>0</v>
      </c>
      <c r="K43" s="101" t="b">
        <v>0</v>
      </c>
      <c r="L43" s="102">
        <f t="shared" si="2"/>
        <v>0</v>
      </c>
      <c r="M43" s="103" t="b">
        <v>0</v>
      </c>
      <c r="N43" s="102">
        <f t="shared" si="3"/>
        <v>0</v>
      </c>
      <c r="O43" s="66" t="str">
        <f>IF((A43="ENDE")+(A43="---"),"---",LOOKUP(CONCATENATE(Deckblatt!$C$14,"-",Q43),'WK-Vorlagen'!B:B,'WK-Vorlagen'!H:H))</f>
        <v>---</v>
      </c>
      <c r="P43" s="66" t="str">
        <f>IF((A43="ENDE")+(A43="---"),"---",LOOKUP(CONCATENATE(Deckblatt!$C$14,"-",Q43),'WK-Vorlagen'!B:B,'WK-Vorlagen'!I:I))</f>
        <v>---</v>
      </c>
      <c r="Q43" s="234" t="s">
        <v>486</v>
      </c>
      <c r="R43" s="274" t="str">
        <f>IF((A43="ENDE")+(A43="---"),"---",IF(LOOKUP(CONCATENATE(Deckblatt!$C$14,"-",Q43),'WK-Vorlagen'!B:B,'WK-Vorlagen'!E:E)=0,"-",1))</f>
        <v>---</v>
      </c>
      <c r="S43" s="66" t="str">
        <f>IF((A43="ENDE")+(A43="---"),"---",IF(LOOKUP(CONCATENATE(Deckblatt!$C$14,"-",Q43),'WK-Vorlagen'!B:B,'WK-Vorlagen'!F:F)=0,"-",1))</f>
        <v>---</v>
      </c>
      <c r="T43" s="66" t="str">
        <f>IF((A43="ENDE")+(A43="---"),"---",IF(LOOKUP(CONCATENATE(Deckblatt!$C$14,"-",Q43),'WK-Vorlagen'!B:B,'WK-Vorlagen'!G:G)=0,"-",1))</f>
        <v>---</v>
      </c>
      <c r="U43" s="66">
        <f t="shared" si="4"/>
        <v>0</v>
      </c>
      <c r="V43" s="66">
        <f t="shared" si="5"/>
        <v>0</v>
      </c>
      <c r="W43" s="66">
        <f t="shared" si="6"/>
        <v>0</v>
      </c>
    </row>
    <row r="44" spans="1:23">
      <c r="A44" s="115" t="str">
        <f>IF((A43="ENDE")+(A43="---")+(Deckblatt!$C$14=""),"---",LOOKUP(CONCATENATE(Deckblatt!$C$14,"-",Q44),'WK-Vorlagen'!B:B,'WK-Vorlagen'!C:C))</f>
        <v>---</v>
      </c>
      <c r="B44" s="31" t="str">
        <f>IF((A44="ENDE")+(A44="---"),"---",LOOKUP(CONCATENATE(Deckblatt!$C$14,"-",Q44),'WK-Vorlagen'!B:B,'WK-Vorlagen'!D:D))</f>
        <v>---</v>
      </c>
      <c r="C44" s="100">
        <f>COUNTIF(Teilnehmer!$E$4:$E$999,A44)</f>
        <v>0</v>
      </c>
      <c r="D44" s="151">
        <v>0</v>
      </c>
      <c r="E44" s="101" t="b">
        <v>0</v>
      </c>
      <c r="F44" s="102">
        <f t="shared" si="0"/>
        <v>0</v>
      </c>
      <c r="G44" s="103" t="b">
        <v>0</v>
      </c>
      <c r="H44" s="102">
        <f t="shared" si="1"/>
        <v>0</v>
      </c>
      <c r="I44" s="100">
        <f>COUNTIF(Mannschaften!$B$5:$B$54,A44)</f>
        <v>0</v>
      </c>
      <c r="J44" s="151">
        <v>0</v>
      </c>
      <c r="K44" s="101" t="b">
        <v>0</v>
      </c>
      <c r="L44" s="102">
        <f t="shared" si="2"/>
        <v>0</v>
      </c>
      <c r="M44" s="103" t="b">
        <v>0</v>
      </c>
      <c r="N44" s="102">
        <f t="shared" si="3"/>
        <v>0</v>
      </c>
      <c r="O44" s="66" t="str">
        <f>IF((A44="ENDE")+(A44="---"),"---",LOOKUP(CONCATENATE(Deckblatt!$C$14,"-",Q44),'WK-Vorlagen'!B:B,'WK-Vorlagen'!H:H))</f>
        <v>---</v>
      </c>
      <c r="P44" s="66" t="str">
        <f>IF((A44="ENDE")+(A44="---"),"---",LOOKUP(CONCATENATE(Deckblatt!$C$14,"-",Q44),'WK-Vorlagen'!B:B,'WK-Vorlagen'!I:I))</f>
        <v>---</v>
      </c>
      <c r="Q44" s="234" t="s">
        <v>488</v>
      </c>
      <c r="R44" s="274" t="str">
        <f>IF((A44="ENDE")+(A44="---"),"---",IF(LOOKUP(CONCATENATE(Deckblatt!$C$14,"-",Q44),'WK-Vorlagen'!B:B,'WK-Vorlagen'!E:E)=0,"-",1))</f>
        <v>---</v>
      </c>
      <c r="S44" s="66" t="str">
        <f>IF((A44="ENDE")+(A44="---"),"---",IF(LOOKUP(CONCATENATE(Deckblatt!$C$14,"-",Q44),'WK-Vorlagen'!B:B,'WK-Vorlagen'!F:F)=0,"-",1))</f>
        <v>---</v>
      </c>
      <c r="T44" s="66" t="str">
        <f>IF((A44="ENDE")+(A44="---"),"---",IF(LOOKUP(CONCATENATE(Deckblatt!$C$14,"-",Q44),'WK-Vorlagen'!B:B,'WK-Vorlagen'!G:G)=0,"-",1))</f>
        <v>---</v>
      </c>
      <c r="U44" s="66">
        <f t="shared" si="4"/>
        <v>0</v>
      </c>
      <c r="V44" s="66">
        <f t="shared" si="5"/>
        <v>0</v>
      </c>
      <c r="W44" s="66">
        <f t="shared" si="6"/>
        <v>0</v>
      </c>
    </row>
    <row r="45" spans="1:23">
      <c r="A45" s="115" t="str">
        <f>IF((A44="ENDE")+(A44="---")+(Deckblatt!$C$14=""),"---",LOOKUP(CONCATENATE(Deckblatt!$C$14,"-",Q45),'WK-Vorlagen'!B:B,'WK-Vorlagen'!C:C))</f>
        <v>---</v>
      </c>
      <c r="B45" s="31" t="str">
        <f>IF((A45="ENDE")+(A45="---"),"---",LOOKUP(CONCATENATE(Deckblatt!$C$14,"-",Q45),'WK-Vorlagen'!B:B,'WK-Vorlagen'!D:D))</f>
        <v>---</v>
      </c>
      <c r="C45" s="100">
        <f>COUNTIF(Teilnehmer!$E$4:$E$999,A45)</f>
        <v>0</v>
      </c>
      <c r="D45" s="151">
        <v>0</v>
      </c>
      <c r="E45" s="101" t="b">
        <v>0</v>
      </c>
      <c r="F45" s="102">
        <f t="shared" si="0"/>
        <v>0</v>
      </c>
      <c r="G45" s="103" t="b">
        <v>0</v>
      </c>
      <c r="H45" s="102">
        <f t="shared" si="1"/>
        <v>0</v>
      </c>
      <c r="I45" s="100">
        <f>COUNTIF(Mannschaften!$B$5:$B$54,A45)</f>
        <v>0</v>
      </c>
      <c r="J45" s="151">
        <v>0</v>
      </c>
      <c r="K45" s="101" t="b">
        <v>0</v>
      </c>
      <c r="L45" s="102">
        <f t="shared" si="2"/>
        <v>0</v>
      </c>
      <c r="M45" s="103" t="b">
        <v>0</v>
      </c>
      <c r="N45" s="102">
        <f t="shared" si="3"/>
        <v>0</v>
      </c>
      <c r="O45" s="66" t="str">
        <f>IF((A45="ENDE")+(A45="---"),"---",LOOKUP(CONCATENATE(Deckblatt!$C$14,"-",Q45),'WK-Vorlagen'!B:B,'WK-Vorlagen'!H:H))</f>
        <v>---</v>
      </c>
      <c r="P45" s="66" t="str">
        <f>IF((A45="ENDE")+(A45="---"),"---",LOOKUP(CONCATENATE(Deckblatt!$C$14,"-",Q45),'WK-Vorlagen'!B:B,'WK-Vorlagen'!I:I))</f>
        <v>---</v>
      </c>
      <c r="Q45" s="234" t="s">
        <v>489</v>
      </c>
      <c r="R45" s="274" t="str">
        <f>IF((A45="ENDE")+(A45="---"),"---",IF(LOOKUP(CONCATENATE(Deckblatt!$C$14,"-",Q45),'WK-Vorlagen'!B:B,'WK-Vorlagen'!E:E)=0,"-",1))</f>
        <v>---</v>
      </c>
      <c r="S45" s="66" t="str">
        <f>IF((A45="ENDE")+(A45="---"),"---",IF(LOOKUP(CONCATENATE(Deckblatt!$C$14,"-",Q45),'WK-Vorlagen'!B:B,'WK-Vorlagen'!F:F)=0,"-",1))</f>
        <v>---</v>
      </c>
      <c r="T45" s="66" t="str">
        <f>IF((A45="ENDE")+(A45="---"),"---",IF(LOOKUP(CONCATENATE(Deckblatt!$C$14,"-",Q45),'WK-Vorlagen'!B:B,'WK-Vorlagen'!G:G)=0,"-",1))</f>
        <v>---</v>
      </c>
      <c r="U45" s="66">
        <f t="shared" si="4"/>
        <v>0</v>
      </c>
      <c r="V45" s="66">
        <f t="shared" si="5"/>
        <v>0</v>
      </c>
      <c r="W45" s="66">
        <f t="shared" si="6"/>
        <v>0</v>
      </c>
    </row>
    <row r="46" spans="1:23">
      <c r="A46" s="115" t="str">
        <f>IF((A45="ENDE")+(A45="---")+(Deckblatt!$C$14=""),"---",LOOKUP(CONCATENATE(Deckblatt!$C$14,"-",Q46),'WK-Vorlagen'!B:B,'WK-Vorlagen'!C:C))</f>
        <v>---</v>
      </c>
      <c r="B46" s="31" t="str">
        <f>IF((A46="ENDE")+(A46="---"),"---",LOOKUP(CONCATENATE(Deckblatt!$C$14,"-",Q46),'WK-Vorlagen'!B:B,'WK-Vorlagen'!D:D))</f>
        <v>---</v>
      </c>
      <c r="C46" s="100">
        <f>COUNTIF(Teilnehmer!$E$4:$E$999,A46)</f>
        <v>0</v>
      </c>
      <c r="D46" s="151">
        <v>0</v>
      </c>
      <c r="E46" s="101" t="b">
        <v>0</v>
      </c>
      <c r="F46" s="102">
        <f t="shared" si="0"/>
        <v>0</v>
      </c>
      <c r="G46" s="103" t="b">
        <v>0</v>
      </c>
      <c r="H46" s="102">
        <f t="shared" si="1"/>
        <v>0</v>
      </c>
      <c r="I46" s="100">
        <f>COUNTIF(Mannschaften!$B$5:$B$54,A46)</f>
        <v>0</v>
      </c>
      <c r="J46" s="151">
        <v>0</v>
      </c>
      <c r="K46" s="101" t="b">
        <v>0</v>
      </c>
      <c r="L46" s="102">
        <f t="shared" si="2"/>
        <v>0</v>
      </c>
      <c r="M46" s="103" t="b">
        <v>0</v>
      </c>
      <c r="N46" s="102">
        <f t="shared" si="3"/>
        <v>0</v>
      </c>
      <c r="O46" s="209" t="str">
        <f>IF((A46="ENDE")+(A46="---"),"---",LOOKUP(CONCATENATE(Deckblatt!$C$14,"-",Q46),'WK-Vorlagen'!B:B,'WK-Vorlagen'!H:H))</f>
        <v>---</v>
      </c>
      <c r="P46" s="209" t="str">
        <f>IF((A46="ENDE")+(A46="---"),"---",LOOKUP(CONCATENATE(Deckblatt!$C$14,"-",Q46),'WK-Vorlagen'!B:B,'WK-Vorlagen'!I:I))</f>
        <v>---</v>
      </c>
      <c r="Q46" s="234" t="s">
        <v>490</v>
      </c>
      <c r="R46" s="275" t="str">
        <f>IF((A46="ENDE")+(A46="---"),"---",IF(LOOKUP(CONCATENATE(Deckblatt!$C$14,"-",Q46),'WK-Vorlagen'!B:B,'WK-Vorlagen'!E:E)=0,"-",1))</f>
        <v>---</v>
      </c>
      <c r="S46" s="209" t="str">
        <f>IF((A46="ENDE")+(A46="---"),"---",IF(LOOKUP(CONCATENATE(Deckblatt!$C$14,"-",Q46),'WK-Vorlagen'!B:B,'WK-Vorlagen'!F:F)=0,"-",1))</f>
        <v>---</v>
      </c>
      <c r="T46" s="209" t="str">
        <f>IF((A46="ENDE")+(A46="---"),"---",IF(LOOKUP(CONCATENATE(Deckblatt!$C$14,"-",Q46),'WK-Vorlagen'!B:B,'WK-Vorlagen'!G:G)=0,"-",1))</f>
        <v>---</v>
      </c>
      <c r="U46" s="209">
        <f t="shared" si="4"/>
        <v>0</v>
      </c>
      <c r="V46" s="209">
        <f t="shared" si="5"/>
        <v>0</v>
      </c>
      <c r="W46" s="209">
        <f t="shared" si="6"/>
        <v>0</v>
      </c>
    </row>
    <row r="47" spans="1:23">
      <c r="A47" s="104"/>
      <c r="B47" s="105" t="s">
        <v>279</v>
      </c>
      <c r="C47" s="305">
        <f>IF(Deckblatt!$C$14='WK-Vorlagen'!$C$82,0,0)</f>
        <v>0</v>
      </c>
      <c r="D47" s="306"/>
      <c r="E47" s="306"/>
      <c r="F47" s="305"/>
      <c r="G47" s="307"/>
      <c r="H47" s="305"/>
      <c r="I47" s="305">
        <f>IF(Deckblatt!$C$14='WK-Vorlagen'!$C$82,0,0)</f>
        <v>0</v>
      </c>
      <c r="J47" s="151"/>
      <c r="K47" s="101"/>
      <c r="L47" s="102"/>
      <c r="M47" s="103"/>
      <c r="N47" s="102"/>
      <c r="Q47" s="235"/>
      <c r="U47" s="123">
        <f>SUM(U7:U46)</f>
        <v>0</v>
      </c>
      <c r="V47" s="66">
        <f>SUM(V7:V46)</f>
        <v>0</v>
      </c>
      <c r="W47" s="66">
        <f>SUM(W7:W46)</f>
        <v>0</v>
      </c>
    </row>
    <row r="48" spans="1:23" ht="13.5" thickBot="1">
      <c r="A48" s="104"/>
      <c r="B48" s="105" t="s">
        <v>335</v>
      </c>
      <c r="C48" s="305">
        <f>IF(Deckblatt!$C$14='WK-Vorlagen'!$C$82,0,0)</f>
        <v>0</v>
      </c>
      <c r="D48" s="308"/>
      <c r="E48" s="308"/>
      <c r="F48" s="305"/>
      <c r="G48" s="305"/>
      <c r="H48" s="305"/>
      <c r="I48" s="305">
        <f>IF(Deckblatt!$C$14='WK-Vorlagen'!$C$82,0,0)</f>
        <v>0</v>
      </c>
      <c r="J48" s="151"/>
      <c r="K48" s="101"/>
      <c r="L48" s="102"/>
      <c r="M48" s="103"/>
      <c r="N48" s="102"/>
      <c r="T48" s="16" t="s">
        <v>557</v>
      </c>
      <c r="W48" s="66">
        <f>IF((Deckblatt!$C$14='WK-Vorlagen'!$C$1)+(Deckblatt!$C$14='WK-Vorlagen'!$C$42)+(Deckblatt!$C$14='WK-Vorlagen'!$C$82),Deckblatt!C44-W47,IF(Deckblatt!$C$14='WK-Vorlagen'!$C$25,SUM(W7:W46),0))</f>
        <v>0</v>
      </c>
    </row>
    <row r="49" spans="1:24" ht="13.5" thickTop="1">
      <c r="A49" s="104"/>
      <c r="B49" s="105" t="s">
        <v>618</v>
      </c>
      <c r="C49" s="305">
        <f>IF(Deckblatt!$C$14='WK-Vorlagen'!$C$82,0,0)</f>
        <v>0</v>
      </c>
      <c r="D49" s="308"/>
      <c r="E49" s="308"/>
      <c r="F49" s="305"/>
      <c r="G49" s="305"/>
      <c r="H49" s="305"/>
      <c r="I49" s="305">
        <f>IF(Deckblatt!$C$14='WK-Vorlagen'!$C$82,0,0)</f>
        <v>0</v>
      </c>
      <c r="J49" s="151"/>
      <c r="K49" s="101"/>
      <c r="L49" s="102"/>
      <c r="M49" s="103"/>
      <c r="N49" s="102"/>
      <c r="T49" s="16"/>
      <c r="U49" s="288">
        <f>U47+U48</f>
        <v>0</v>
      </c>
      <c r="V49" s="288">
        <f>V47+V48</f>
        <v>0</v>
      </c>
      <c r="W49" s="288">
        <f>IF(Deckblatt!$C$14='WK-Vorlagen'!$C$25,0,W47+W48)</f>
        <v>0</v>
      </c>
    </row>
    <row r="50" spans="1:24">
      <c r="A50" s="104"/>
      <c r="B50" s="105" t="s">
        <v>659</v>
      </c>
      <c r="C50" s="230">
        <f>SUM(C7:C46)-SUM(C47:C49)</f>
        <v>0</v>
      </c>
      <c r="D50" s="286"/>
      <c r="E50" s="286"/>
      <c r="F50" s="285"/>
      <c r="G50" s="285"/>
      <c r="H50" s="285"/>
      <c r="I50" s="230">
        <f>SUM(I7:I46)-SUM(I47:I49)</f>
        <v>0</v>
      </c>
      <c r="J50" s="151"/>
      <c r="K50" s="101"/>
      <c r="L50" s="102"/>
      <c r="M50" s="103"/>
      <c r="N50" s="102"/>
    </row>
    <row r="51" spans="1:24">
      <c r="A51" s="104"/>
      <c r="B51" s="105" t="s">
        <v>437</v>
      </c>
      <c r="C51" s="230">
        <f>V49</f>
        <v>0</v>
      </c>
      <c r="D51" s="286"/>
      <c r="E51" s="286"/>
      <c r="F51" s="285"/>
      <c r="G51" s="285"/>
      <c r="H51" s="285"/>
      <c r="I51" s="305">
        <v>0</v>
      </c>
      <c r="J51" s="151"/>
      <c r="K51" s="101"/>
      <c r="L51" s="102"/>
      <c r="M51" s="103"/>
      <c r="N51" s="102"/>
    </row>
    <row r="52" spans="1:24" s="109" customFormat="1">
      <c r="A52" s="104"/>
      <c r="B52" s="105" t="s">
        <v>278</v>
      </c>
      <c r="C52" s="230">
        <f>SUM(C7:C46)-COUNTIF(Teilnehmer!$AJ$4:$AJ$999,"&lt;&gt;0")</f>
        <v>0</v>
      </c>
      <c r="D52" s="286"/>
      <c r="E52" s="286"/>
      <c r="F52" s="285">
        <f>SUM(F7:F46)</f>
        <v>0</v>
      </c>
      <c r="G52" s="285"/>
      <c r="H52" s="285">
        <f>SUM(H7:H46)</f>
        <v>0</v>
      </c>
      <c r="I52" s="230">
        <f>SUM(I7:I46)</f>
        <v>0</v>
      </c>
      <c r="J52" s="106"/>
      <c r="K52" s="106"/>
      <c r="L52" s="107">
        <f>SUM(L7:L46)</f>
        <v>0</v>
      </c>
      <c r="M52" s="108"/>
      <c r="N52" s="107">
        <f>SUM(N7:N46)</f>
        <v>0</v>
      </c>
      <c r="P52"/>
      <c r="Q52"/>
      <c r="R52"/>
      <c r="S52"/>
      <c r="T52"/>
      <c r="U52" s="66"/>
      <c r="V52" s="66"/>
      <c r="W52" s="66"/>
      <c r="X52"/>
    </row>
    <row r="54" spans="1:24">
      <c r="A54" s="110"/>
      <c r="B54" s="111"/>
      <c r="C54" s="87" t="s">
        <v>206</v>
      </c>
      <c r="D54" s="87"/>
      <c r="E54" s="87"/>
      <c r="F54" s="87"/>
      <c r="G54" s="87"/>
      <c r="H54" s="87"/>
      <c r="I54" s="87" t="s">
        <v>52</v>
      </c>
      <c r="J54" s="98"/>
      <c r="K54" s="98"/>
      <c r="L54" s="98"/>
      <c r="M54" s="87"/>
      <c r="N54" s="86"/>
      <c r="O54" s="112" t="s">
        <v>53</v>
      </c>
      <c r="R54" t="s">
        <v>556</v>
      </c>
    </row>
    <row r="55" spans="1:24" hidden="1">
      <c r="A55" s="113"/>
      <c r="B55" s="114" t="s">
        <v>280</v>
      </c>
      <c r="C55" s="100">
        <f>C47</f>
        <v>0</v>
      </c>
      <c r="D55" s="115"/>
      <c r="E55" s="115"/>
      <c r="F55" s="115"/>
      <c r="G55" s="115"/>
      <c r="H55" s="115"/>
      <c r="I55" s="100">
        <f>I47</f>
        <v>0</v>
      </c>
      <c r="J55" s="116"/>
      <c r="K55" s="116"/>
      <c r="L55" s="116"/>
      <c r="O55" s="117"/>
    </row>
    <row r="56" spans="1:24" hidden="1">
      <c r="A56" s="113"/>
      <c r="B56" s="114" t="s">
        <v>334</v>
      </c>
      <c r="C56" s="100">
        <f>C48</f>
        <v>0</v>
      </c>
      <c r="D56" s="115"/>
      <c r="E56" s="115"/>
      <c r="F56" s="115"/>
      <c r="G56" s="115"/>
      <c r="H56" s="115"/>
      <c r="I56" s="100">
        <f>I48</f>
        <v>0</v>
      </c>
      <c r="J56" s="116"/>
      <c r="K56" s="116"/>
      <c r="L56" s="116"/>
      <c r="O56" s="117"/>
    </row>
    <row r="57" spans="1:24" hidden="1">
      <c r="A57" s="113"/>
      <c r="B57" s="114" t="s">
        <v>281</v>
      </c>
      <c r="C57" s="100">
        <f>C50</f>
        <v>0</v>
      </c>
      <c r="D57" s="115"/>
      <c r="E57" s="115"/>
      <c r="F57" s="115"/>
      <c r="G57" s="115"/>
      <c r="H57" s="115"/>
      <c r="I57" s="100">
        <f>I50</f>
        <v>0</v>
      </c>
      <c r="J57" s="116"/>
      <c r="K57" s="116"/>
      <c r="L57" s="116"/>
      <c r="O57" s="117"/>
    </row>
    <row r="58" spans="1:24">
      <c r="A58" s="113"/>
      <c r="B58" s="114" t="s">
        <v>436</v>
      </c>
      <c r="C58" s="225">
        <f>IF(Deckblatt!$C$14='WK-Vorlagen'!$C$82,0,0)</f>
        <v>0</v>
      </c>
      <c r="D58" s="115"/>
      <c r="E58" s="115"/>
      <c r="F58" s="115"/>
      <c r="G58" s="115"/>
      <c r="H58" s="115"/>
      <c r="I58" s="99">
        <v>0</v>
      </c>
      <c r="J58" s="116"/>
      <c r="K58" s="116"/>
      <c r="L58" s="116"/>
      <c r="O58" s="117"/>
      <c r="R58" s="66">
        <f>ROW('WK-Vorlagen'!C1)</f>
        <v>1</v>
      </c>
      <c r="S58" t="str">
        <f>'WK-Vorlagen'!C1</f>
        <v>Gaufinale 2018 Einzel</v>
      </c>
    </row>
    <row r="59" spans="1:24">
      <c r="A59" s="113"/>
      <c r="B59" s="114" t="s">
        <v>350</v>
      </c>
      <c r="C59" s="225">
        <f>IF(Deckblatt!$C$14='WK-Vorlagen'!$C$82,0,0)</f>
        <v>0</v>
      </c>
      <c r="D59" s="99"/>
      <c r="E59" s="99"/>
      <c r="F59" s="99"/>
      <c r="G59" s="99"/>
      <c r="H59" s="99"/>
      <c r="I59" s="99">
        <v>0</v>
      </c>
      <c r="J59" s="116"/>
      <c r="K59" s="116"/>
      <c r="L59" s="116"/>
      <c r="O59" s="117"/>
      <c r="R59" s="66">
        <f>ROW('WK-Vorlagen'!C25)</f>
        <v>25</v>
      </c>
      <c r="S59" t="str">
        <f>'WK-Vorlagen'!C25</f>
        <v>Gaufinale 2018 Mannschaft</v>
      </c>
    </row>
    <row r="60" spans="1:24">
      <c r="A60" s="113"/>
      <c r="B60" s="114" t="s">
        <v>614</v>
      </c>
      <c r="C60" s="225">
        <f>IF(Deckblatt!$C$14='WK-Vorlagen'!$C$82,0,0)</f>
        <v>0</v>
      </c>
      <c r="D60" s="99"/>
      <c r="E60" s="99"/>
      <c r="F60" s="99"/>
      <c r="G60" s="99"/>
      <c r="H60" s="99"/>
      <c r="I60" s="99">
        <f>IF(Deckblatt!$C$14='WK-Vorlagen'!$C$82,0,0)</f>
        <v>0</v>
      </c>
      <c r="J60" s="116"/>
      <c r="K60" s="116"/>
      <c r="L60" s="116"/>
      <c r="O60" s="117"/>
      <c r="R60" s="66">
        <f>ROW('WK-Vorlagen'!C42)</f>
        <v>42</v>
      </c>
      <c r="S60" t="str">
        <f>'WK-Vorlagen'!C42</f>
        <v>Hallenturnfest 2018</v>
      </c>
    </row>
    <row r="61" spans="1:24">
      <c r="A61" s="113"/>
      <c r="B61" s="114" t="s">
        <v>660</v>
      </c>
      <c r="C61" s="225">
        <f>IF((Deckblatt!$C$14=""),0,IF(Deckblatt!$C$14='WK-Vorlagen'!$C$25,0,IF(Deckblatt!$C$14='WK-Vorlagen'!$C$142,MAX('WK-Vorlagen'!L145,INDEX('WK-Vorlagen'!C:J,MATCH(Deckblatt!$C$14,'WK-Vorlagen'!C:C,0)+3,8)),INDEX('WK-Vorlagen'!C:J,MATCH(Deckblatt!$C$14,'WK-Vorlagen'!C:C,0)+3,8))))</f>
        <v>0</v>
      </c>
      <c r="D61" s="287"/>
      <c r="E61" s="287"/>
      <c r="F61" s="287"/>
      <c r="G61" s="287"/>
      <c r="H61" s="287"/>
      <c r="I61" s="99">
        <f>IF((Deckblatt!$C$14=""),0,IF(Deckblatt!$C$14='WK-Vorlagen'!$C$25,INDEX('WK-Vorlagen'!C:J,MATCH(Deckblatt!$C$14,'WK-Vorlagen'!C:C,0)+3,8),0))</f>
        <v>0</v>
      </c>
      <c r="J61" s="116"/>
      <c r="K61" s="116"/>
      <c r="L61" s="116"/>
      <c r="O61" s="117"/>
      <c r="R61" s="66">
        <f>ROW('WK-Vorlagen'!C82)</f>
        <v>82</v>
      </c>
      <c r="S61" t="str">
        <f>'WK-Vorlagen'!C82</f>
        <v>Mehrkampftag 2018</v>
      </c>
      <c r="T61" s="109"/>
      <c r="U61" s="109"/>
    </row>
    <row r="62" spans="1:24">
      <c r="A62" s="113"/>
      <c r="B62" s="114" t="s">
        <v>150</v>
      </c>
      <c r="C62" s="225">
        <f>IF((Deckblatt!$C$14=""),0,IF(((Deckblatt!$C$14='WK-Vorlagen'!$C$1)+(Deckblatt!$C$14='WK-Vorlagen'!$C$25)),0,INDEX('WK-Vorlagen'!C:J,MATCH(Deckblatt!$C$14,'WK-Vorlagen'!C:C,0)+3,8)))</f>
        <v>0</v>
      </c>
      <c r="D62" s="287"/>
      <c r="E62" s="287"/>
      <c r="F62" s="287"/>
      <c r="G62" s="287"/>
      <c r="H62" s="287"/>
      <c r="I62" s="99">
        <f>IF((Deckblatt!$C$14=""),0,0)</f>
        <v>0</v>
      </c>
      <c r="J62" s="116"/>
      <c r="K62" s="116"/>
      <c r="L62" s="116"/>
      <c r="O62" s="117"/>
      <c r="R62" s="66">
        <f>ROW('WK-Vorlagen'!C125)</f>
        <v>125</v>
      </c>
      <c r="S62" t="str">
        <f>'WK-Vorlagen'!C125</f>
        <v>Tag des Talents 1 2018 Berkheim</v>
      </c>
      <c r="T62" s="109"/>
      <c r="U62" s="109"/>
    </row>
    <row r="63" spans="1:24" s="109" customFormat="1">
      <c r="A63" s="118"/>
      <c r="B63" s="119" t="s">
        <v>376</v>
      </c>
      <c r="C63" s="226">
        <f>IF(AND((C47&gt;0),(C58&gt;0)),ROUNDUP(C47/C58,0),0)</f>
        <v>0</v>
      </c>
      <c r="D63" s="227"/>
      <c r="E63" s="227"/>
      <c r="F63" s="227"/>
      <c r="G63" s="227"/>
      <c r="H63" s="227"/>
      <c r="I63" s="226">
        <f>IF(AND((I47&gt;0),(I58&gt;0)),ROUNDUP(I47/I58,0),0)</f>
        <v>0</v>
      </c>
      <c r="J63" s="138"/>
      <c r="K63" s="138"/>
      <c r="L63" s="138"/>
      <c r="M63" s="224"/>
      <c r="N63" s="147"/>
      <c r="O63" s="228">
        <f>C63+I63</f>
        <v>0</v>
      </c>
      <c r="R63" s="66">
        <f>ROW('WK-Vorlagen'!C142)</f>
        <v>142</v>
      </c>
      <c r="S63" t="str">
        <f>'WK-Vorlagen'!C142</f>
        <v>Tag des Talents 2 2018 Wernau</v>
      </c>
      <c r="V63" s="120"/>
      <c r="W63" s="120"/>
    </row>
    <row r="64" spans="1:24" s="109" customFormat="1">
      <c r="A64" s="118"/>
      <c r="B64" s="119" t="s">
        <v>377</v>
      </c>
      <c r="C64" s="226">
        <f>IF(AND((C48&gt;0),(C59&gt;0)),ROUNDUP(C48/C59,0),0)</f>
        <v>0</v>
      </c>
      <c r="D64" s="227"/>
      <c r="E64" s="227"/>
      <c r="F64" s="227"/>
      <c r="G64" s="227"/>
      <c r="H64" s="227"/>
      <c r="I64" s="226">
        <f>IF(AND((I48&gt;0),(I59&gt;0)),ROUNDUP(I48/I59,0),0)</f>
        <v>0</v>
      </c>
      <c r="J64" s="229"/>
      <c r="K64" s="229"/>
      <c r="L64" s="229"/>
      <c r="M64" s="120"/>
      <c r="O64" s="228">
        <f>C64+I64</f>
        <v>0</v>
      </c>
      <c r="V64" s="120"/>
      <c r="W64" s="120"/>
    </row>
    <row r="65" spans="1:23" s="109" customFormat="1">
      <c r="A65" s="118"/>
      <c r="B65" s="119" t="s">
        <v>613</v>
      </c>
      <c r="C65" s="226">
        <f>IF(AND((C49&gt;0),(C60&gt;0)),ROUNDUP(C49/C60,0),0)</f>
        <v>0</v>
      </c>
      <c r="D65" s="227"/>
      <c r="E65" s="227"/>
      <c r="F65" s="227"/>
      <c r="G65" s="227"/>
      <c r="H65" s="227"/>
      <c r="I65" s="226">
        <f>IF(AND((I49&gt;0),(I60&gt;0)),ROUNDUP(I49/I60,0),0)</f>
        <v>0</v>
      </c>
      <c r="J65" s="229"/>
      <c r="K65" s="229"/>
      <c r="L65" s="229"/>
      <c r="M65" s="120"/>
      <c r="O65" s="228">
        <f>C65+I65</f>
        <v>0</v>
      </c>
      <c r="R65" s="66"/>
      <c r="S65"/>
      <c r="V65" s="120"/>
      <c r="W65" s="120"/>
    </row>
    <row r="66" spans="1:23" s="109" customFormat="1">
      <c r="A66" s="118"/>
      <c r="B66" s="119" t="s">
        <v>379</v>
      </c>
      <c r="C66" s="226">
        <f>IF((Deckblatt!$C$14='WK-Vorlagen'!$C$142)*((C50+C51)&gt;5)*(C50&gt;0),1,IF((Deckblatt!$C$14='WK-Vorlagen'!$C$142)*((C50+C51)&lt;6),0,IF(AND((C50&gt;0),(C61&gt;0)),ROUNDUP(C50/C61,0),0)))</f>
        <v>0</v>
      </c>
      <c r="D66" s="227"/>
      <c r="E66" s="227"/>
      <c r="F66" s="227"/>
      <c r="G66" s="227"/>
      <c r="H66" s="227"/>
      <c r="I66" s="226">
        <f>IF(AND((I50&gt;0),(I61&gt;0)),ROUNDUP(I50/I61,0),0)</f>
        <v>0</v>
      </c>
      <c r="J66" s="229"/>
      <c r="K66" s="229"/>
      <c r="L66" s="229"/>
      <c r="M66" s="120"/>
      <c r="O66" s="228">
        <f>C66+I66</f>
        <v>0</v>
      </c>
      <c r="V66" s="120"/>
      <c r="W66" s="120"/>
    </row>
    <row r="67" spans="1:23" s="109" customFormat="1">
      <c r="A67" s="118"/>
      <c r="B67" s="119" t="s">
        <v>378</v>
      </c>
      <c r="C67" s="226">
        <f>IF((Deckblatt!$C$14='WK-Vorlagen'!$C$142)*((C50+C51)&gt;1),2-C66,IF((Deckblatt!$C$14='WK-Vorlagen'!$C$142)*((C50+C51)&lt;6),1,MAX(0,IF((Deckblatt!$C$14='WK-Vorlagen'!$C$42)+(Deckblatt!$C$14='WK-Vorlagen'!$C$125),ROUNDUP(C52/C62,0)-C63-C64-C66,IF(AND((C51&gt;0),(C62&gt;0)),ROUNDUP(C51/C62,0),0)))))</f>
        <v>0</v>
      </c>
      <c r="D67" s="227"/>
      <c r="E67" s="227"/>
      <c r="F67" s="227"/>
      <c r="G67" s="227"/>
      <c r="H67" s="227"/>
      <c r="I67" s="226">
        <f>IF(AND((I51&gt;0),(I62&gt;0)),ROUNDUP(I51/I62,0),0)</f>
        <v>0</v>
      </c>
      <c r="J67" s="229"/>
      <c r="K67" s="229"/>
      <c r="L67" s="229"/>
      <c r="M67" s="120"/>
      <c r="O67" s="228">
        <f>C67+I67</f>
        <v>0</v>
      </c>
      <c r="R67" s="66"/>
      <c r="S67"/>
      <c r="V67" s="120"/>
      <c r="W67" s="120"/>
    </row>
    <row r="68" spans="1:23">
      <c r="A68" s="121"/>
      <c r="B68" s="122"/>
      <c r="I68" s="123"/>
      <c r="J68" s="116"/>
      <c r="K68" s="116"/>
      <c r="L68" s="116"/>
      <c r="O68" s="117"/>
      <c r="R68" s="66"/>
    </row>
    <row r="69" spans="1:23">
      <c r="A69" s="113"/>
      <c r="B69" s="114" t="s">
        <v>424</v>
      </c>
      <c r="C69" s="124">
        <v>6</v>
      </c>
      <c r="D69" s="125"/>
      <c r="E69" s="125"/>
      <c r="F69" s="125"/>
      <c r="G69" s="125"/>
      <c r="H69" s="125"/>
      <c r="I69" s="124">
        <f>IF(Deckblatt!C14=S60,20,25)</f>
        <v>25</v>
      </c>
      <c r="J69" s="116"/>
      <c r="K69" s="116"/>
      <c r="L69" s="116"/>
      <c r="O69" s="117"/>
      <c r="R69" s="66"/>
    </row>
    <row r="70" spans="1:23">
      <c r="A70" s="113"/>
      <c r="B70" s="114" t="s">
        <v>423</v>
      </c>
      <c r="C70" s="124">
        <v>8</v>
      </c>
      <c r="D70" s="125"/>
      <c r="E70" s="125"/>
      <c r="F70" s="125"/>
      <c r="G70" s="125"/>
      <c r="H70" s="125"/>
      <c r="I70" s="124">
        <f>I69</f>
        <v>25</v>
      </c>
      <c r="J70" s="116"/>
      <c r="K70" s="116"/>
      <c r="L70" s="116"/>
      <c r="O70" s="117"/>
    </row>
    <row r="71" spans="1:23">
      <c r="A71" s="113"/>
      <c r="B71" s="114" t="s">
        <v>611</v>
      </c>
      <c r="C71" s="203">
        <f>COUNTIF(Teilnehmer!AG:AG,"X")</f>
        <v>0</v>
      </c>
      <c r="D71" s="204"/>
      <c r="E71" s="204"/>
      <c r="F71" s="204"/>
      <c r="G71" s="204"/>
      <c r="H71" s="204"/>
      <c r="I71" s="203"/>
      <c r="J71" s="116"/>
      <c r="K71" s="116"/>
      <c r="L71" s="116"/>
      <c r="O71" s="117"/>
    </row>
    <row r="72" spans="1:23">
      <c r="A72" s="113"/>
      <c r="B72" s="126" t="s">
        <v>54</v>
      </c>
      <c r="C72" s="153">
        <v>0.5</v>
      </c>
      <c r="D72" s="127"/>
      <c r="E72" s="127"/>
      <c r="F72" s="127"/>
      <c r="G72" s="127"/>
      <c r="H72" s="127"/>
      <c r="I72" s="153">
        <f>C72</f>
        <v>0.5</v>
      </c>
      <c r="O72" s="117"/>
    </row>
    <row r="73" spans="1:23">
      <c r="A73" s="113"/>
      <c r="B73" s="128" t="s">
        <v>55</v>
      </c>
      <c r="C73" s="124">
        <v>0</v>
      </c>
      <c r="D73" s="125"/>
      <c r="E73" s="125"/>
      <c r="F73" s="125"/>
      <c r="G73" s="125"/>
      <c r="H73" s="125"/>
      <c r="I73" s="124">
        <f>C73</f>
        <v>0</v>
      </c>
      <c r="J73" s="116"/>
      <c r="K73" s="116"/>
      <c r="L73" s="116"/>
      <c r="O73" s="117"/>
    </row>
    <row r="74" spans="1:23">
      <c r="A74" s="113"/>
      <c r="B74" s="128" t="s">
        <v>56</v>
      </c>
      <c r="C74" s="125"/>
      <c r="I74" s="125"/>
      <c r="K74" s="129"/>
      <c r="L74" s="129"/>
      <c r="O74" s="130">
        <v>0</v>
      </c>
    </row>
    <row r="75" spans="1:23">
      <c r="A75" s="121"/>
      <c r="B75" s="131" t="str">
        <f>IF(O74=0,"Die Wettkampfunterlagen werden nicht zugesandt, sondern vor dem Wettkampf ausgegeben","")</f>
        <v>Die Wettkampfunterlagen werden nicht zugesandt, sondern vor dem Wettkampf ausgegeben</v>
      </c>
      <c r="C75" s="132"/>
      <c r="D75" s="132"/>
      <c r="E75" s="132"/>
      <c r="F75" s="132"/>
      <c r="G75" s="132"/>
      <c r="H75" s="132"/>
      <c r="I75" s="133"/>
      <c r="J75" s="116"/>
      <c r="K75" s="116"/>
      <c r="L75" s="116"/>
      <c r="O75" s="117"/>
    </row>
    <row r="76" spans="1:23">
      <c r="A76" s="113"/>
      <c r="B76" s="128" t="s">
        <v>57</v>
      </c>
      <c r="C76" s="134" t="str">
        <f>IF(OR(ISBLANK(Deckblatt!$C$64),ISNA(Deckblatt!$C$19)),"?",C69*(C52-W48)+(C70-C69)*C71)</f>
        <v>?</v>
      </c>
      <c r="D76" s="125"/>
      <c r="E76" s="125"/>
      <c r="F76" s="125"/>
      <c r="G76" s="125"/>
      <c r="H76" s="125"/>
      <c r="I76" s="134" t="str">
        <f>IF(OR(ISBLANK(Deckblatt!$C$64),ISNA(Deckblatt!$C$19)),"?",I69*I52)</f>
        <v>?</v>
      </c>
      <c r="O76" s="135" t="str">
        <f>IF(AND(ISNUMBER(C76),ISNUMBER(I76)),C76+I76,"?")</f>
        <v>?</v>
      </c>
    </row>
    <row r="77" spans="1:23">
      <c r="A77" s="113"/>
      <c r="B77" s="128" t="s">
        <v>274</v>
      </c>
      <c r="C77" s="134" t="str">
        <f>IF(OR(ISBLANK(Deckblatt!$C$64),ISNA(Deckblatt!$C$19)),"?",IF(Deckblatt!$C$64&lt;=Deckblatt!$C$19,0,IF(ISBLANK(C72),"?",(C76*C72))))</f>
        <v>?</v>
      </c>
      <c r="D77" s="125"/>
      <c r="E77" s="125"/>
      <c r="F77" s="125"/>
      <c r="G77" s="125"/>
      <c r="H77" s="125"/>
      <c r="I77" s="134" t="str">
        <f>IF(OR(ISBLANK(Deckblatt!$C$64),ISNA(Deckblatt!$C$19)),"?",IF(Deckblatt!$C$64&lt;=Deckblatt!$C$19,0,IF(ISBLANK(I72),"?",(I69*I72*I52))))</f>
        <v>?</v>
      </c>
      <c r="O77" s="135" t="str">
        <f>IF(AND(ISNUMBER(C77),ISNUMBER(I77)),C77+I77,"?")</f>
        <v>?</v>
      </c>
    </row>
    <row r="78" spans="1:23">
      <c r="A78" s="113"/>
      <c r="B78" s="128" t="s">
        <v>58</v>
      </c>
      <c r="C78" s="134">
        <f>SUM(C63:C67)*C73</f>
        <v>0</v>
      </c>
      <c r="D78" s="125"/>
      <c r="E78" s="125"/>
      <c r="F78" s="125"/>
      <c r="G78" s="125"/>
      <c r="H78" s="125"/>
      <c r="I78" s="134">
        <f>SUM(I63:I67)*I73</f>
        <v>0</v>
      </c>
      <c r="J78" s="116"/>
      <c r="K78" s="116"/>
      <c r="L78" s="116"/>
      <c r="O78" s="135">
        <f>C78+I78</f>
        <v>0</v>
      </c>
    </row>
    <row r="79" spans="1:23">
      <c r="A79" s="113"/>
      <c r="B79" s="280" t="s">
        <v>539</v>
      </c>
      <c r="C79" s="134">
        <f>IF((Deckblatt!$C$14='WK-Vorlagen'!$C$82),0,0)</f>
        <v>0</v>
      </c>
      <c r="D79" s="125"/>
      <c r="E79" s="125"/>
      <c r="F79" s="125"/>
      <c r="G79" s="125"/>
      <c r="H79" s="125"/>
      <c r="I79" s="134"/>
      <c r="J79" s="116"/>
      <c r="K79" s="116"/>
      <c r="L79" s="116"/>
      <c r="O79" s="135">
        <f>IF((Deckblatt!C41="j"),C79,0)</f>
        <v>0</v>
      </c>
    </row>
    <row r="80" spans="1:23">
      <c r="A80" s="113"/>
      <c r="B80" s="128" t="s">
        <v>491</v>
      </c>
      <c r="C80" s="134">
        <v>50</v>
      </c>
      <c r="D80" s="125"/>
      <c r="E80" s="125"/>
      <c r="F80" s="125"/>
      <c r="G80" s="125"/>
      <c r="H80" s="125"/>
      <c r="I80" s="134">
        <f>C80</f>
        <v>50</v>
      </c>
      <c r="J80" s="116"/>
      <c r="K80" s="116"/>
      <c r="L80" s="116"/>
      <c r="O80" s="135">
        <f>(MAX(0,O63-Kampfrichter!H57)*C80)+(MAX(0,O64-Kampfrichter!H58)*C80)+(MAX(0,O66-Kampfrichter!H60)*C80)+IF(SUM(Kampfrichter!H56:H60)&lt;SUM(O63:O67),(MAX(0,O67-Kampfrichter!H56)*C80),0)</f>
        <v>0</v>
      </c>
    </row>
    <row r="81" spans="1:23" s="109" customFormat="1">
      <c r="A81" s="113"/>
      <c r="B81" s="136" t="s">
        <v>56</v>
      </c>
      <c r="C81" s="155"/>
      <c r="D81" s="156"/>
      <c r="E81" s="156"/>
      <c r="F81" s="156"/>
      <c r="G81" s="156"/>
      <c r="H81" s="156"/>
      <c r="I81" s="155"/>
      <c r="M81" s="120"/>
      <c r="O81" s="135">
        <f>IF(OR(ISBLANK(Deckblatt!C$64),ISNA(Deckblatt!C$19)),0,IF(Deckblatt!C$64 &lt; Deckblatt!C$19,IF(C76+O78&gt;0,O74,0),0))</f>
        <v>0</v>
      </c>
      <c r="V81" s="120"/>
      <c r="W81" s="120"/>
    </row>
    <row r="82" spans="1:23">
      <c r="A82" s="213" t="s">
        <v>59</v>
      </c>
      <c r="B82" s="137"/>
      <c r="C82" s="137"/>
      <c r="D82" s="137"/>
      <c r="E82" s="137"/>
      <c r="F82" s="137"/>
      <c r="G82" s="137"/>
      <c r="H82" s="137"/>
      <c r="I82" s="137"/>
      <c r="J82" s="137"/>
      <c r="K82" s="137"/>
      <c r="L82" s="137"/>
      <c r="M82" s="137"/>
      <c r="N82" s="137"/>
      <c r="O82" s="231" t="str">
        <f>CONCATENATE(IF(AND(ISNUMBER(O76),ISNUMBER(O81)),SUM(O76:O81),"?")," €   ",IF(((O77=0)+(O77="?")),"",CONCATENATE("; Davon ",O77," € Nachmeldegebühr")),IF(O79=0,"",CONCATENATE("; Davon ",O79," € Fahnenband")),IF(O80=0,"",CONCATENATE("; Davon ",O80," € Kampfrichtergebühr")),IF(((I76=0)+(I76="?")),"",CONCATENATE("; Davon ",I76," € für Mannschaften")))</f>
        <v xml:space="preserve">? €   </v>
      </c>
    </row>
    <row r="83" spans="1:23">
      <c r="I83" s="123"/>
      <c r="J83" s="116"/>
      <c r="K83" s="116"/>
      <c r="L83" s="116"/>
    </row>
    <row r="84" spans="1:23">
      <c r="A84" s="138" t="str">
        <f>IF(ISBLANK(Deckblatt!C64),"Bitte tragen Sie auf dem Deckblatt das Anmeldedatum ein!","")</f>
        <v>Bitte tragen Sie auf dem Deckblatt das Anmeldedatum ein!</v>
      </c>
    </row>
    <row r="85" spans="1:23">
      <c r="A85" s="138" t="str">
        <f>IF(ISBLANK(Deckblatt!C24),"Bitte tragen Sie auf dem Deckblatt ihren Verein ein!","")</f>
        <v>Bitte tragen Sie auf dem Deckblatt ihren Verein ein!</v>
      </c>
    </row>
  </sheetData>
  <sheetCalcPr fullCalcOnLoad="1"/>
  <sheetProtection password="C04C" sheet="1" selectLockedCells="1"/>
  <mergeCells count="4">
    <mergeCell ref="E6:F6"/>
    <mergeCell ref="G6:H6"/>
    <mergeCell ref="K6:L6"/>
    <mergeCell ref="M6:N6"/>
  </mergeCells>
  <phoneticPr fontId="3" type="noConversion"/>
  <pageMargins left="0.59055118110236227" right="0.59055118110236227" top="0.78740157480314965" bottom="0.78740157480314965" header="0.51181102362204722" footer="0.51181102362204722"/>
  <pageSetup paperSize="9" scale="4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9"/>
  <sheetViews>
    <sheetView zoomScaleNormal="100" zoomScaleSheetLayoutView="100" workbookViewId="0"/>
  </sheetViews>
  <sheetFormatPr baseColWidth="10" defaultRowHeight="12.75"/>
  <cols>
    <col min="1" max="1" width="5.7109375" style="66" customWidth="1"/>
    <col min="2" max="2" width="33.7109375" bestFit="1" customWidth="1"/>
    <col min="4" max="4" width="69.7109375" style="17" bestFit="1" customWidth="1"/>
    <col min="5" max="7" width="5.7109375" style="93" customWidth="1"/>
    <col min="8" max="9" width="10.7109375" style="93" customWidth="1"/>
  </cols>
  <sheetData>
    <row r="1" spans="1:13">
      <c r="C1" s="109" t="str">
        <f>Veranstaltungen!B2</f>
        <v>Gaufinale 2018 Einzel</v>
      </c>
      <c r="H1" s="233">
        <v>2018</v>
      </c>
      <c r="J1">
        <f>ROW(C24)-ROW(C2)-1</f>
        <v>21</v>
      </c>
      <c r="K1" t="s">
        <v>294</v>
      </c>
    </row>
    <row r="2" spans="1:13">
      <c r="C2" s="123" t="s">
        <v>216</v>
      </c>
      <c r="D2" s="197" t="s">
        <v>48</v>
      </c>
      <c r="E2" s="207" t="s">
        <v>531</v>
      </c>
      <c r="F2" s="207" t="s">
        <v>533</v>
      </c>
      <c r="G2" s="207" t="s">
        <v>534</v>
      </c>
      <c r="H2" s="207" t="s">
        <v>329</v>
      </c>
      <c r="I2" s="207" t="s">
        <v>330</v>
      </c>
      <c r="J2" s="194"/>
      <c r="K2" s="194"/>
      <c r="L2" s="194"/>
      <c r="M2" s="194"/>
    </row>
    <row r="3" spans="1:13">
      <c r="A3" s="234" t="s">
        <v>450</v>
      </c>
      <c r="B3" t="str">
        <f>CONCATENATE($C$1,"-",A3)</f>
        <v>Gaufinale 2018 Einzel-01</v>
      </c>
      <c r="C3" s="123">
        <v>21100</v>
      </c>
      <c r="D3" s="197" t="s">
        <v>640</v>
      </c>
      <c r="E3" s="207"/>
      <c r="F3" s="207"/>
      <c r="G3" s="207" t="s">
        <v>532</v>
      </c>
      <c r="H3" s="207">
        <f>$H$1-10</f>
        <v>2008</v>
      </c>
      <c r="I3" s="207">
        <f>$H$1-99</f>
        <v>1919</v>
      </c>
      <c r="J3" s="194" t="s">
        <v>321</v>
      </c>
      <c r="K3" s="194"/>
      <c r="L3" s="194"/>
      <c r="M3" s="194"/>
    </row>
    <row r="4" spans="1:13">
      <c r="A4" s="234" t="s">
        <v>451</v>
      </c>
      <c r="B4" t="str">
        <f t="shared" ref="B4:B24" si="0">CONCATENATE($C$1,"-",A4)</f>
        <v>Gaufinale 2018 Einzel-02</v>
      </c>
      <c r="C4" s="123">
        <v>21701</v>
      </c>
      <c r="D4" s="197" t="s">
        <v>592</v>
      </c>
      <c r="E4" s="207"/>
      <c r="F4" s="207"/>
      <c r="G4" s="207" t="s">
        <v>532</v>
      </c>
      <c r="H4" s="207">
        <f>$H$1-12</f>
        <v>2006</v>
      </c>
      <c r="I4" s="207">
        <f>$H$1-99</f>
        <v>1919</v>
      </c>
      <c r="J4" s="194">
        <v>5</v>
      </c>
      <c r="K4" s="194"/>
      <c r="L4" s="194"/>
      <c r="M4" s="194"/>
    </row>
    <row r="5" spans="1:13">
      <c r="A5" s="234" t="s">
        <v>452</v>
      </c>
      <c r="B5" t="str">
        <f t="shared" si="0"/>
        <v>Gaufinale 2018 Einzel-03</v>
      </c>
      <c r="C5" s="123">
        <v>21702</v>
      </c>
      <c r="D5" s="197" t="s">
        <v>594</v>
      </c>
      <c r="E5" s="207"/>
      <c r="F5" s="207"/>
      <c r="G5" s="207" t="s">
        <v>532</v>
      </c>
      <c r="H5" s="207">
        <f>$H$1-12</f>
        <v>2006</v>
      </c>
      <c r="I5" s="207">
        <f>$H$1-99</f>
        <v>1919</v>
      </c>
      <c r="J5" s="194"/>
      <c r="K5" s="194"/>
      <c r="L5" s="194"/>
      <c r="M5" s="194"/>
    </row>
    <row r="6" spans="1:13">
      <c r="A6" s="234" t="s">
        <v>453</v>
      </c>
      <c r="B6" t="str">
        <f t="shared" si="0"/>
        <v>Gaufinale 2018 Einzel-04</v>
      </c>
      <c r="C6" s="123">
        <v>21707</v>
      </c>
      <c r="D6" s="197" t="s">
        <v>638</v>
      </c>
      <c r="E6" s="207"/>
      <c r="F6" s="207"/>
      <c r="G6" s="207" t="s">
        <v>532</v>
      </c>
      <c r="H6" s="207">
        <f>$H$1-7</f>
        <v>2011</v>
      </c>
      <c r="I6" s="207">
        <f>$H$1-7</f>
        <v>2011</v>
      </c>
      <c r="J6" s="194"/>
      <c r="K6" s="194"/>
      <c r="L6" s="194"/>
      <c r="M6" s="194"/>
    </row>
    <row r="7" spans="1:13">
      <c r="A7" s="234" t="s">
        <v>454</v>
      </c>
      <c r="B7" t="str">
        <f t="shared" si="0"/>
        <v>Gaufinale 2018 Einzel-05</v>
      </c>
      <c r="C7" s="123">
        <v>21708</v>
      </c>
      <c r="D7" s="197" t="s">
        <v>354</v>
      </c>
      <c r="E7" s="207"/>
      <c r="F7" s="207"/>
      <c r="G7" s="207" t="s">
        <v>532</v>
      </c>
      <c r="H7" s="207">
        <f>$H$1-8</f>
        <v>2010</v>
      </c>
      <c r="I7" s="207">
        <f>$H$1-8</f>
        <v>2010</v>
      </c>
      <c r="J7" s="194"/>
      <c r="K7" s="194"/>
      <c r="L7" s="194"/>
      <c r="M7" s="194"/>
    </row>
    <row r="8" spans="1:13">
      <c r="A8" s="234" t="s">
        <v>455</v>
      </c>
      <c r="B8" t="str">
        <f t="shared" si="0"/>
        <v>Gaufinale 2018 Einzel-06</v>
      </c>
      <c r="C8" s="123">
        <v>21709</v>
      </c>
      <c r="D8" s="197" t="s">
        <v>355</v>
      </c>
      <c r="E8" s="207"/>
      <c r="F8" s="207"/>
      <c r="G8" s="207" t="s">
        <v>532</v>
      </c>
      <c r="H8" s="207">
        <f>$H$1-9</f>
        <v>2009</v>
      </c>
      <c r="I8" s="207">
        <f>$H$1-9</f>
        <v>2009</v>
      </c>
      <c r="J8" s="194"/>
      <c r="K8" s="194"/>
      <c r="L8" s="194"/>
      <c r="M8" s="194"/>
    </row>
    <row r="9" spans="1:13">
      <c r="A9" s="234" t="s">
        <v>456</v>
      </c>
      <c r="B9" t="str">
        <f t="shared" si="0"/>
        <v>Gaufinale 2018 Einzel-07</v>
      </c>
      <c r="C9" s="123">
        <v>21710</v>
      </c>
      <c r="D9" s="197" t="s">
        <v>356</v>
      </c>
      <c r="E9" s="207"/>
      <c r="F9" s="207"/>
      <c r="G9" s="207" t="s">
        <v>532</v>
      </c>
      <c r="H9" s="207">
        <f>$H$1-10</f>
        <v>2008</v>
      </c>
      <c r="I9" s="207">
        <f>$H$1-10</f>
        <v>2008</v>
      </c>
      <c r="J9" s="194"/>
      <c r="K9" s="194"/>
      <c r="L9" s="194"/>
      <c r="M9" s="194"/>
    </row>
    <row r="10" spans="1:13">
      <c r="A10" s="234" t="s">
        <v>457</v>
      </c>
      <c r="B10" t="str">
        <f t="shared" si="0"/>
        <v>Gaufinale 2018 Einzel-08</v>
      </c>
      <c r="C10" s="123">
        <v>21711</v>
      </c>
      <c r="D10" s="197" t="s">
        <v>357</v>
      </c>
      <c r="E10" s="207"/>
      <c r="F10" s="207"/>
      <c r="G10" s="207" t="s">
        <v>532</v>
      </c>
      <c r="H10" s="207">
        <f>$H$1-11</f>
        <v>2007</v>
      </c>
      <c r="I10" s="207">
        <f>$H$1-11</f>
        <v>2007</v>
      </c>
      <c r="J10" s="194"/>
      <c r="K10" s="194"/>
      <c r="L10" s="194"/>
      <c r="M10" s="194"/>
    </row>
    <row r="11" spans="1:13">
      <c r="A11" s="234" t="s">
        <v>458</v>
      </c>
      <c r="B11" t="str">
        <f t="shared" si="0"/>
        <v>Gaufinale 2018 Einzel-09</v>
      </c>
      <c r="C11" s="123">
        <v>21712</v>
      </c>
      <c r="D11" s="197" t="s">
        <v>358</v>
      </c>
      <c r="E11" s="207"/>
      <c r="F11" s="207"/>
      <c r="G11" s="207" t="s">
        <v>532</v>
      </c>
      <c r="H11" s="207">
        <f>$H$1-12</f>
        <v>2006</v>
      </c>
      <c r="I11" s="207">
        <f>$H$1-12</f>
        <v>2006</v>
      </c>
      <c r="J11" s="194"/>
      <c r="K11" s="194"/>
      <c r="L11" s="194"/>
      <c r="M11" s="194"/>
    </row>
    <row r="12" spans="1:13">
      <c r="A12" s="234" t="s">
        <v>459</v>
      </c>
      <c r="B12" t="str">
        <f t="shared" si="0"/>
        <v>Gaufinale 2018 Einzel-10</v>
      </c>
      <c r="C12" s="123">
        <v>21713</v>
      </c>
      <c r="D12" s="197" t="s">
        <v>359</v>
      </c>
      <c r="E12" s="207"/>
      <c r="F12" s="207"/>
      <c r="G12" s="207" t="s">
        <v>532</v>
      </c>
      <c r="H12" s="207">
        <f>$H$1-13</f>
        <v>2005</v>
      </c>
      <c r="I12" s="207">
        <f>$H$1-13</f>
        <v>2005</v>
      </c>
      <c r="J12" s="194"/>
      <c r="K12" s="194"/>
      <c r="L12" s="194"/>
      <c r="M12" s="194"/>
    </row>
    <row r="13" spans="1:13">
      <c r="A13" s="234" t="s">
        <v>460</v>
      </c>
      <c r="B13" t="str">
        <f t="shared" si="0"/>
        <v>Gaufinale 2018 Einzel-11</v>
      </c>
      <c r="C13" s="123">
        <v>21716</v>
      </c>
      <c r="D13" s="197" t="s">
        <v>641</v>
      </c>
      <c r="E13" s="207"/>
      <c r="F13" s="207"/>
      <c r="G13" s="207" t="s">
        <v>532</v>
      </c>
      <c r="H13" s="207">
        <f>$H$1-14</f>
        <v>2004</v>
      </c>
      <c r="I13" s="207">
        <f>$H$1-99</f>
        <v>1919</v>
      </c>
      <c r="J13" s="194"/>
      <c r="K13" s="194"/>
      <c r="L13" s="194"/>
      <c r="M13" s="194"/>
    </row>
    <row r="14" spans="1:13">
      <c r="A14" s="234" t="s">
        <v>461</v>
      </c>
      <c r="B14" t="str">
        <f t="shared" si="0"/>
        <v>Gaufinale 2018 Einzel-12</v>
      </c>
      <c r="C14" s="123">
        <v>21801</v>
      </c>
      <c r="D14" s="197" t="s">
        <v>593</v>
      </c>
      <c r="E14" s="207"/>
      <c r="F14" s="207"/>
      <c r="G14" s="207" t="s">
        <v>532</v>
      </c>
      <c r="H14" s="207">
        <f>$H$1-12</f>
        <v>2006</v>
      </c>
      <c r="I14" s="207">
        <f>$H$1-99</f>
        <v>1919</v>
      </c>
      <c r="J14" s="194"/>
      <c r="K14" s="194"/>
      <c r="L14" s="194"/>
      <c r="M14" s="194"/>
    </row>
    <row r="15" spans="1:13">
      <c r="A15" s="234" t="s">
        <v>462</v>
      </c>
      <c r="B15" t="str">
        <f t="shared" si="0"/>
        <v>Gaufinale 2018 Einzel-13</v>
      </c>
      <c r="C15" s="123">
        <v>21802</v>
      </c>
      <c r="D15" s="197" t="s">
        <v>595</v>
      </c>
      <c r="E15" s="207"/>
      <c r="F15" s="207"/>
      <c r="G15" s="207" t="s">
        <v>532</v>
      </c>
      <c r="H15" s="207">
        <f>$H$1-12</f>
        <v>2006</v>
      </c>
      <c r="I15" s="207">
        <f>$H$1-99</f>
        <v>1919</v>
      </c>
      <c r="J15" s="194"/>
      <c r="K15" s="194"/>
      <c r="L15" s="194"/>
      <c r="M15" s="194"/>
    </row>
    <row r="16" spans="1:13">
      <c r="A16" s="234" t="s">
        <v>463</v>
      </c>
      <c r="B16" t="str">
        <f t="shared" si="0"/>
        <v>Gaufinale 2018 Einzel-14</v>
      </c>
      <c r="C16" s="123">
        <v>21807</v>
      </c>
      <c r="D16" s="197" t="s">
        <v>637</v>
      </c>
      <c r="E16" s="207"/>
      <c r="F16" s="207"/>
      <c r="G16" s="207" t="s">
        <v>532</v>
      </c>
      <c r="H16" s="207">
        <f>$H$1-7</f>
        <v>2011</v>
      </c>
      <c r="I16" s="207">
        <f>$H$1-7</f>
        <v>2011</v>
      </c>
      <c r="J16" s="194"/>
      <c r="K16" s="194"/>
      <c r="L16" s="194"/>
      <c r="M16" s="194"/>
    </row>
    <row r="17" spans="1:13">
      <c r="A17" s="234" t="s">
        <v>464</v>
      </c>
      <c r="B17" t="str">
        <f t="shared" si="0"/>
        <v>Gaufinale 2018 Einzel-15</v>
      </c>
      <c r="C17" s="123">
        <v>21808</v>
      </c>
      <c r="D17" s="197" t="s">
        <v>360</v>
      </c>
      <c r="E17" s="207"/>
      <c r="F17" s="207"/>
      <c r="G17" s="207" t="s">
        <v>532</v>
      </c>
      <c r="H17" s="207">
        <f>$H$1-8</f>
        <v>2010</v>
      </c>
      <c r="I17" s="207">
        <f>$H$1-8</f>
        <v>2010</v>
      </c>
      <c r="J17" s="194"/>
      <c r="K17" s="194"/>
      <c r="L17" s="194"/>
      <c r="M17" s="194"/>
    </row>
    <row r="18" spans="1:13">
      <c r="A18" s="234" t="s">
        <v>465</v>
      </c>
      <c r="B18" t="str">
        <f t="shared" si="0"/>
        <v>Gaufinale 2018 Einzel-16</v>
      </c>
      <c r="C18" s="123">
        <v>21809</v>
      </c>
      <c r="D18" s="197" t="s">
        <v>361</v>
      </c>
      <c r="E18" s="207"/>
      <c r="F18" s="207"/>
      <c r="G18" s="207" t="s">
        <v>532</v>
      </c>
      <c r="H18" s="207">
        <f>$H$1-9</f>
        <v>2009</v>
      </c>
      <c r="I18" s="207">
        <f>$H$1-9</f>
        <v>2009</v>
      </c>
      <c r="J18" s="194"/>
      <c r="K18" s="194"/>
      <c r="L18" s="194"/>
      <c r="M18" s="194"/>
    </row>
    <row r="19" spans="1:13">
      <c r="A19" s="234" t="s">
        <v>466</v>
      </c>
      <c r="B19" t="str">
        <f t="shared" si="0"/>
        <v>Gaufinale 2018 Einzel-17</v>
      </c>
      <c r="C19" s="123">
        <v>21810</v>
      </c>
      <c r="D19" s="197" t="s">
        <v>362</v>
      </c>
      <c r="E19" s="207"/>
      <c r="F19" s="207"/>
      <c r="G19" s="207" t="s">
        <v>532</v>
      </c>
      <c r="H19" s="207">
        <f>$H$1-10</f>
        <v>2008</v>
      </c>
      <c r="I19" s="207">
        <f>$H$1-10</f>
        <v>2008</v>
      </c>
      <c r="J19" s="194"/>
      <c r="K19" s="194"/>
      <c r="L19" s="194"/>
      <c r="M19" s="194"/>
    </row>
    <row r="20" spans="1:13">
      <c r="A20" s="234" t="s">
        <v>467</v>
      </c>
      <c r="B20" t="str">
        <f t="shared" si="0"/>
        <v>Gaufinale 2018 Einzel-18</v>
      </c>
      <c r="C20" s="123">
        <v>21811</v>
      </c>
      <c r="D20" s="197" t="s">
        <v>363</v>
      </c>
      <c r="E20" s="207"/>
      <c r="F20" s="207"/>
      <c r="G20" s="207" t="s">
        <v>532</v>
      </c>
      <c r="H20" s="207">
        <f>$H$1-11</f>
        <v>2007</v>
      </c>
      <c r="I20" s="207">
        <f>$H$1-11</f>
        <v>2007</v>
      </c>
      <c r="J20" s="194"/>
      <c r="K20" s="194"/>
      <c r="L20" s="194"/>
      <c r="M20" s="194"/>
    </row>
    <row r="21" spans="1:13">
      <c r="A21" s="234" t="s">
        <v>468</v>
      </c>
      <c r="B21" t="str">
        <f t="shared" si="0"/>
        <v>Gaufinale 2018 Einzel-19</v>
      </c>
      <c r="C21" s="123">
        <v>21812</v>
      </c>
      <c r="D21" s="197" t="s">
        <v>364</v>
      </c>
      <c r="E21" s="207"/>
      <c r="F21" s="207"/>
      <c r="G21" s="207" t="s">
        <v>532</v>
      </c>
      <c r="H21" s="207">
        <f>$H$1-12</f>
        <v>2006</v>
      </c>
      <c r="I21" s="207">
        <f>$H$1-12</f>
        <v>2006</v>
      </c>
      <c r="J21" s="194"/>
      <c r="K21" s="194"/>
      <c r="L21" s="194"/>
      <c r="M21" s="194"/>
    </row>
    <row r="22" spans="1:13">
      <c r="A22" s="234" t="s">
        <v>469</v>
      </c>
      <c r="B22" t="str">
        <f t="shared" si="0"/>
        <v>Gaufinale 2018 Einzel-20</v>
      </c>
      <c r="C22" s="123">
        <v>21813</v>
      </c>
      <c r="D22" s="197" t="s">
        <v>365</v>
      </c>
      <c r="E22" s="207"/>
      <c r="F22" s="207"/>
      <c r="G22" s="207" t="s">
        <v>532</v>
      </c>
      <c r="H22" s="207">
        <f>$H$1-13</f>
        <v>2005</v>
      </c>
      <c r="I22" s="207">
        <f>$H$1-13</f>
        <v>2005</v>
      </c>
      <c r="J22" s="194"/>
      <c r="K22" s="194"/>
      <c r="L22" s="194"/>
      <c r="M22" s="194"/>
    </row>
    <row r="23" spans="1:13">
      <c r="A23" s="234" t="s">
        <v>470</v>
      </c>
      <c r="B23" t="str">
        <f t="shared" si="0"/>
        <v>Gaufinale 2018 Einzel-21</v>
      </c>
      <c r="C23" s="123">
        <v>21816</v>
      </c>
      <c r="D23" s="197" t="s">
        <v>639</v>
      </c>
      <c r="E23" s="207"/>
      <c r="F23" s="207"/>
      <c r="G23" s="207" t="s">
        <v>532</v>
      </c>
      <c r="H23" s="207">
        <f>$H$1-14</f>
        <v>2004</v>
      </c>
      <c r="I23" s="207">
        <f>$H$1-99</f>
        <v>1919</v>
      </c>
      <c r="J23" s="194"/>
      <c r="K23" s="194"/>
      <c r="L23" s="194"/>
      <c r="M23" s="194"/>
    </row>
    <row r="24" spans="1:13">
      <c r="A24" s="234" t="s">
        <v>471</v>
      </c>
      <c r="B24" t="str">
        <f t="shared" si="0"/>
        <v>Gaufinale 2018 Einzel-22</v>
      </c>
      <c r="C24" s="123" t="s">
        <v>295</v>
      </c>
    </row>
    <row r="25" spans="1:13">
      <c r="C25" s="109" t="str">
        <f>Veranstaltungen!B3</f>
        <v>Gaufinale 2018 Mannschaft</v>
      </c>
      <c r="H25" s="233"/>
      <c r="J25">
        <f>ROW(C41)-ROW(C26)-1</f>
        <v>14</v>
      </c>
      <c r="K25" t="s">
        <v>294</v>
      </c>
    </row>
    <row r="26" spans="1:13">
      <c r="C26" s="123" t="s">
        <v>216</v>
      </c>
      <c r="D26" s="197" t="s">
        <v>48</v>
      </c>
      <c r="E26" s="207" t="s">
        <v>531</v>
      </c>
      <c r="F26" s="207" t="s">
        <v>533</v>
      </c>
      <c r="G26" s="207" t="s">
        <v>534</v>
      </c>
      <c r="H26" s="207" t="s">
        <v>329</v>
      </c>
      <c r="I26" s="207" t="s">
        <v>330</v>
      </c>
      <c r="J26" s="194"/>
      <c r="K26" s="194"/>
      <c r="L26" s="194"/>
      <c r="M26" s="194"/>
    </row>
    <row r="27" spans="1:13">
      <c r="A27" s="234" t="s">
        <v>450</v>
      </c>
      <c r="B27" t="str">
        <f>CONCATENATE($C$25,"-",A27)</f>
        <v>Gaufinale 2018 Mannschaft-01</v>
      </c>
      <c r="C27" s="123">
        <v>21600</v>
      </c>
      <c r="D27" s="197" t="s">
        <v>596</v>
      </c>
      <c r="E27" s="207" t="s">
        <v>532</v>
      </c>
      <c r="F27" s="207"/>
      <c r="G27" s="207" t="s">
        <v>532</v>
      </c>
      <c r="H27" s="207">
        <f>$H$1-12</f>
        <v>2006</v>
      </c>
      <c r="I27" s="207">
        <f>$H$1-99</f>
        <v>1919</v>
      </c>
      <c r="J27" s="194" t="s">
        <v>648</v>
      </c>
      <c r="K27" s="194"/>
      <c r="L27" s="194"/>
      <c r="M27" s="194"/>
    </row>
    <row r="28" spans="1:13">
      <c r="A28" s="234" t="s">
        <v>451</v>
      </c>
      <c r="B28" t="str">
        <f>CONCATENATE($C$25,"-",A28)</f>
        <v>Gaufinale 2018 Mannschaft-02</v>
      </c>
      <c r="C28" s="123">
        <v>21601</v>
      </c>
      <c r="D28" s="197" t="s">
        <v>646</v>
      </c>
      <c r="E28" s="207" t="s">
        <v>532</v>
      </c>
      <c r="F28" s="207"/>
      <c r="G28" s="207" t="s">
        <v>532</v>
      </c>
      <c r="H28" s="207">
        <f>$H$1-12</f>
        <v>2006</v>
      </c>
      <c r="I28" s="207">
        <f>$H$1-99</f>
        <v>1919</v>
      </c>
      <c r="J28" s="194">
        <v>1</v>
      </c>
      <c r="K28" s="194"/>
      <c r="L28" s="194"/>
      <c r="M28" s="194"/>
    </row>
    <row r="29" spans="1:13">
      <c r="A29" s="234" t="s">
        <v>452</v>
      </c>
      <c r="B29" t="str">
        <f t="shared" ref="B29:B41" si="1">CONCATENATE($C$25,"-",A29)</f>
        <v>Gaufinale 2018 Mannschaft-03</v>
      </c>
      <c r="C29" s="123">
        <v>21602</v>
      </c>
      <c r="D29" s="197" t="s">
        <v>647</v>
      </c>
      <c r="E29" s="207" t="s">
        <v>532</v>
      </c>
      <c r="F29" s="207"/>
      <c r="G29" s="207" t="s">
        <v>532</v>
      </c>
      <c r="H29" s="207">
        <f>$H$1-12</f>
        <v>2006</v>
      </c>
      <c r="I29" s="207">
        <f>$H$1-99</f>
        <v>1919</v>
      </c>
      <c r="M29" s="194"/>
    </row>
    <row r="30" spans="1:13">
      <c r="A30" s="234" t="s">
        <v>453</v>
      </c>
      <c r="B30" t="str">
        <f t="shared" si="1"/>
        <v>Gaufinale 2018 Mannschaft-04</v>
      </c>
      <c r="C30" s="123">
        <v>21607</v>
      </c>
      <c r="D30" s="197" t="s">
        <v>642</v>
      </c>
      <c r="E30" s="207" t="s">
        <v>532</v>
      </c>
      <c r="F30" s="207"/>
      <c r="G30" s="207" t="s">
        <v>532</v>
      </c>
      <c r="H30" s="207">
        <f>$H$1-7</f>
        <v>2011</v>
      </c>
      <c r="I30" s="207">
        <f>$H$1-7</f>
        <v>2011</v>
      </c>
      <c r="M30" s="194"/>
    </row>
    <row r="31" spans="1:13">
      <c r="A31" s="234" t="s">
        <v>454</v>
      </c>
      <c r="B31" t="str">
        <f t="shared" si="1"/>
        <v>Gaufinale 2018 Mannschaft-05</v>
      </c>
      <c r="C31" s="123">
        <v>21608</v>
      </c>
      <c r="D31" s="197" t="s">
        <v>369</v>
      </c>
      <c r="E31" s="207" t="s">
        <v>532</v>
      </c>
      <c r="F31" s="207"/>
      <c r="G31" s="207" t="s">
        <v>532</v>
      </c>
      <c r="H31" s="207">
        <f>$H$1-8</f>
        <v>2010</v>
      </c>
      <c r="I31" s="207">
        <f>$H$1-9</f>
        <v>2009</v>
      </c>
      <c r="L31" s="194"/>
      <c r="M31" s="194"/>
    </row>
    <row r="32" spans="1:13">
      <c r="A32" s="234" t="s">
        <v>455</v>
      </c>
      <c r="B32" t="str">
        <f t="shared" si="1"/>
        <v>Gaufinale 2018 Mannschaft-06</v>
      </c>
      <c r="C32" s="123">
        <v>21610</v>
      </c>
      <c r="D32" s="197" t="s">
        <v>370</v>
      </c>
      <c r="E32" s="207" t="s">
        <v>532</v>
      </c>
      <c r="F32" s="207"/>
      <c r="G32" s="207" t="s">
        <v>532</v>
      </c>
      <c r="H32" s="207">
        <f>$H$1-10</f>
        <v>2008</v>
      </c>
      <c r="I32" s="207">
        <f>$H$1-11</f>
        <v>2007</v>
      </c>
      <c r="J32" s="194"/>
      <c r="K32" s="194"/>
      <c r="L32" s="194"/>
      <c r="M32" s="194"/>
    </row>
    <row r="33" spans="1:13">
      <c r="A33" s="234" t="s">
        <v>456</v>
      </c>
      <c r="B33" t="str">
        <f t="shared" si="1"/>
        <v>Gaufinale 2018 Mannschaft-07</v>
      </c>
      <c r="C33" s="123">
        <v>21612</v>
      </c>
      <c r="D33" s="197" t="s">
        <v>371</v>
      </c>
      <c r="E33" s="207" t="s">
        <v>532</v>
      </c>
      <c r="F33" s="207"/>
      <c r="G33" s="207" t="s">
        <v>532</v>
      </c>
      <c r="H33" s="207">
        <f>$H$1-12</f>
        <v>2006</v>
      </c>
      <c r="I33" s="207">
        <f>$H$1-13</f>
        <v>2005</v>
      </c>
      <c r="J33" s="194"/>
      <c r="K33" s="194"/>
      <c r="L33" s="194"/>
      <c r="M33" s="194"/>
    </row>
    <row r="34" spans="1:13">
      <c r="A34" s="234" t="s">
        <v>457</v>
      </c>
      <c r="B34" t="str">
        <f>CONCATENATE($C$25,"-",A34)</f>
        <v>Gaufinale 2018 Mannschaft-08</v>
      </c>
      <c r="C34" s="123">
        <v>21900</v>
      </c>
      <c r="D34" s="197" t="s">
        <v>597</v>
      </c>
      <c r="E34" s="207" t="s">
        <v>532</v>
      </c>
      <c r="F34" s="207"/>
      <c r="G34" s="207" t="s">
        <v>532</v>
      </c>
      <c r="H34" s="207">
        <f>$H$1-12</f>
        <v>2006</v>
      </c>
      <c r="I34" s="207">
        <f>$H$1-99</f>
        <v>1919</v>
      </c>
      <c r="J34" s="194"/>
      <c r="K34" s="194"/>
      <c r="L34" s="194"/>
      <c r="M34" s="194"/>
    </row>
    <row r="35" spans="1:13">
      <c r="A35" s="234" t="s">
        <v>458</v>
      </c>
      <c r="B35" t="str">
        <f t="shared" si="1"/>
        <v>Gaufinale 2018 Mannschaft-09</v>
      </c>
      <c r="C35" s="123">
        <v>21901</v>
      </c>
      <c r="D35" s="197" t="s">
        <v>644</v>
      </c>
      <c r="E35" s="207" t="s">
        <v>532</v>
      </c>
      <c r="F35" s="207"/>
      <c r="G35" s="207" t="s">
        <v>532</v>
      </c>
      <c r="H35" s="207">
        <f>$H$1-12</f>
        <v>2006</v>
      </c>
      <c r="I35" s="207">
        <f>$H$1-99</f>
        <v>1919</v>
      </c>
      <c r="J35" s="194"/>
      <c r="K35" s="194"/>
      <c r="L35" s="194"/>
      <c r="M35" s="194"/>
    </row>
    <row r="36" spans="1:13">
      <c r="A36" s="234" t="s">
        <v>459</v>
      </c>
      <c r="B36" t="str">
        <f t="shared" si="1"/>
        <v>Gaufinale 2018 Mannschaft-10</v>
      </c>
      <c r="C36" s="123">
        <v>21902</v>
      </c>
      <c r="D36" s="197" t="s">
        <v>645</v>
      </c>
      <c r="E36" s="207" t="s">
        <v>532</v>
      </c>
      <c r="F36" s="207"/>
      <c r="G36" s="207" t="s">
        <v>532</v>
      </c>
      <c r="H36" s="207">
        <f>$H$1-12</f>
        <v>2006</v>
      </c>
      <c r="I36" s="207">
        <f>$H$1-99</f>
        <v>1919</v>
      </c>
      <c r="J36" s="194"/>
      <c r="K36" s="194"/>
      <c r="L36" s="194"/>
      <c r="M36" s="194"/>
    </row>
    <row r="37" spans="1:13">
      <c r="A37" s="234" t="s">
        <v>460</v>
      </c>
      <c r="B37" t="str">
        <f t="shared" si="1"/>
        <v>Gaufinale 2018 Mannschaft-11</v>
      </c>
      <c r="C37" s="123">
        <v>21907</v>
      </c>
      <c r="D37" s="197" t="s">
        <v>643</v>
      </c>
      <c r="E37" s="207" t="s">
        <v>532</v>
      </c>
      <c r="F37" s="207"/>
      <c r="G37" s="207" t="s">
        <v>532</v>
      </c>
      <c r="H37" s="207">
        <f>$H$1-7</f>
        <v>2011</v>
      </c>
      <c r="I37" s="207">
        <f>$H$1-7</f>
        <v>2011</v>
      </c>
      <c r="J37" s="194"/>
      <c r="K37" s="194"/>
      <c r="L37" s="194"/>
      <c r="M37" s="194"/>
    </row>
    <row r="38" spans="1:13">
      <c r="A38" s="234" t="s">
        <v>461</v>
      </c>
      <c r="B38" t="str">
        <f t="shared" si="1"/>
        <v>Gaufinale 2018 Mannschaft-12</v>
      </c>
      <c r="C38" s="123">
        <v>21908</v>
      </c>
      <c r="D38" s="197" t="s">
        <v>366</v>
      </c>
      <c r="E38" s="207" t="s">
        <v>532</v>
      </c>
      <c r="F38" s="207"/>
      <c r="G38" s="207" t="s">
        <v>532</v>
      </c>
      <c r="H38" s="207">
        <f>$H$1-8</f>
        <v>2010</v>
      </c>
      <c r="I38" s="207">
        <f>$H$1-9</f>
        <v>2009</v>
      </c>
      <c r="J38" s="194"/>
      <c r="K38" s="194"/>
      <c r="L38" s="194"/>
      <c r="M38" s="194"/>
    </row>
    <row r="39" spans="1:13">
      <c r="A39" s="234" t="s">
        <v>462</v>
      </c>
      <c r="B39" t="str">
        <f t="shared" si="1"/>
        <v>Gaufinale 2018 Mannschaft-13</v>
      </c>
      <c r="C39" s="123">
        <v>21910</v>
      </c>
      <c r="D39" s="197" t="s">
        <v>367</v>
      </c>
      <c r="E39" s="207" t="s">
        <v>532</v>
      </c>
      <c r="F39" s="207"/>
      <c r="G39" s="207" t="s">
        <v>532</v>
      </c>
      <c r="H39" s="207">
        <f>$H$1-10</f>
        <v>2008</v>
      </c>
      <c r="I39" s="207">
        <f>$H$1-11</f>
        <v>2007</v>
      </c>
      <c r="J39" s="194"/>
      <c r="K39" s="194"/>
      <c r="L39" s="194"/>
      <c r="M39" s="194"/>
    </row>
    <row r="40" spans="1:13">
      <c r="A40" s="234" t="s">
        <v>463</v>
      </c>
      <c r="B40" t="str">
        <f t="shared" si="1"/>
        <v>Gaufinale 2018 Mannschaft-14</v>
      </c>
      <c r="C40" s="123">
        <v>21912</v>
      </c>
      <c r="D40" s="197" t="s">
        <v>368</v>
      </c>
      <c r="E40" s="207" t="s">
        <v>532</v>
      </c>
      <c r="F40" s="207"/>
      <c r="G40" s="207" t="s">
        <v>532</v>
      </c>
      <c r="H40" s="207">
        <f>$H$1-12</f>
        <v>2006</v>
      </c>
      <c r="I40" s="207">
        <f>$H$1-13</f>
        <v>2005</v>
      </c>
      <c r="J40" s="194"/>
      <c r="K40" s="194"/>
      <c r="L40" s="194"/>
      <c r="M40" s="194"/>
    </row>
    <row r="41" spans="1:13">
      <c r="A41" s="234" t="s">
        <v>464</v>
      </c>
      <c r="B41" t="str">
        <f t="shared" si="1"/>
        <v>Gaufinale 2018 Mannschaft-15</v>
      </c>
      <c r="C41" s="123" t="s">
        <v>295</v>
      </c>
    </row>
    <row r="42" spans="1:13">
      <c r="C42" s="156" t="str">
        <f>Veranstaltungen!B4</f>
        <v>Hallenturnfest 2018</v>
      </c>
      <c r="J42">
        <f>ROW(C81)-ROW(C43)-1</f>
        <v>37</v>
      </c>
      <c r="K42" t="s">
        <v>294</v>
      </c>
    </row>
    <row r="43" spans="1:13">
      <c r="C43" s="123" t="s">
        <v>216</v>
      </c>
      <c r="D43" s="197" t="s">
        <v>48</v>
      </c>
      <c r="E43" s="207" t="s">
        <v>531</v>
      </c>
      <c r="F43" s="207" t="s">
        <v>533</v>
      </c>
      <c r="G43" s="207" t="s">
        <v>534</v>
      </c>
      <c r="H43" s="207" t="s">
        <v>329</v>
      </c>
      <c r="I43" s="207" t="s">
        <v>330</v>
      </c>
      <c r="J43" s="194"/>
      <c r="K43" s="194"/>
      <c r="L43" s="194"/>
      <c r="M43" s="194"/>
    </row>
    <row r="44" spans="1:13">
      <c r="A44" s="234" t="s">
        <v>450</v>
      </c>
      <c r="B44" t="str">
        <f>CONCATENATE($C$42,"-",A44)</f>
        <v>Hallenturnfest 2018-01</v>
      </c>
      <c r="C44" s="123">
        <v>1208</v>
      </c>
      <c r="D44" s="197" t="s">
        <v>381</v>
      </c>
      <c r="E44" s="207"/>
      <c r="F44" s="207"/>
      <c r="G44" s="207" t="s">
        <v>532</v>
      </c>
      <c r="H44" s="207">
        <f>$H$1-8</f>
        <v>2010</v>
      </c>
      <c r="I44" s="207">
        <f>$H$1-8</f>
        <v>2010</v>
      </c>
      <c r="J44" s="194" t="s">
        <v>558</v>
      </c>
      <c r="K44" s="194"/>
      <c r="L44" s="194"/>
      <c r="M44" s="194"/>
    </row>
    <row r="45" spans="1:13">
      <c r="A45" s="234" t="s">
        <v>451</v>
      </c>
      <c r="B45" t="str">
        <f t="shared" ref="B45:B81" si="2">CONCATENATE($C$42,"-",A45)</f>
        <v>Hallenturnfest 2018-02</v>
      </c>
      <c r="C45" s="123">
        <v>1209</v>
      </c>
      <c r="D45" s="197" t="s">
        <v>382</v>
      </c>
      <c r="E45" s="207"/>
      <c r="F45" s="207"/>
      <c r="G45" s="207" t="s">
        <v>532</v>
      </c>
      <c r="H45" s="207">
        <f>$H$1-9</f>
        <v>2009</v>
      </c>
      <c r="I45" s="207">
        <f>$H$1-9</f>
        <v>2009</v>
      </c>
      <c r="J45" s="194">
        <v>10</v>
      </c>
      <c r="K45" s="194"/>
      <c r="L45" s="194"/>
      <c r="M45" s="194"/>
    </row>
    <row r="46" spans="1:13">
      <c r="A46" s="234" t="s">
        <v>452</v>
      </c>
      <c r="B46" t="str">
        <f t="shared" si="2"/>
        <v>Hallenturnfest 2018-03</v>
      </c>
      <c r="C46" s="123">
        <v>1210</v>
      </c>
      <c r="D46" s="197" t="s">
        <v>383</v>
      </c>
      <c r="E46" s="207"/>
      <c r="F46" s="207"/>
      <c r="G46" s="207" t="s">
        <v>532</v>
      </c>
      <c r="H46" s="207">
        <f>$H$1-10</f>
        <v>2008</v>
      </c>
      <c r="I46" s="207">
        <f>$H$1-10</f>
        <v>2008</v>
      </c>
      <c r="J46" s="194"/>
      <c r="K46" s="194"/>
      <c r="L46" s="194"/>
      <c r="M46" s="194"/>
    </row>
    <row r="47" spans="1:13">
      <c r="A47" s="234" t="s">
        <v>453</v>
      </c>
      <c r="B47" t="str">
        <f t="shared" si="2"/>
        <v>Hallenturnfest 2018-04</v>
      </c>
      <c r="C47" s="123">
        <v>1211</v>
      </c>
      <c r="D47" s="197" t="s">
        <v>384</v>
      </c>
      <c r="E47" s="207"/>
      <c r="F47" s="207"/>
      <c r="G47" s="207" t="s">
        <v>532</v>
      </c>
      <c r="H47" s="207">
        <f>$H$1-11</f>
        <v>2007</v>
      </c>
      <c r="I47" s="207">
        <f>$H$1-11</f>
        <v>2007</v>
      </c>
      <c r="J47" s="194"/>
      <c r="K47" s="194"/>
      <c r="L47" s="194"/>
      <c r="M47" s="194"/>
    </row>
    <row r="48" spans="1:13">
      <c r="A48" s="234" t="s">
        <v>454</v>
      </c>
      <c r="B48" t="str">
        <f t="shared" si="2"/>
        <v>Hallenturnfest 2018-05</v>
      </c>
      <c r="C48" s="123">
        <v>1212</v>
      </c>
      <c r="D48" s="197" t="s">
        <v>385</v>
      </c>
      <c r="E48" s="207"/>
      <c r="F48" s="207"/>
      <c r="G48" s="207" t="s">
        <v>532</v>
      </c>
      <c r="H48" s="207">
        <f>$H$1-12</f>
        <v>2006</v>
      </c>
      <c r="I48" s="207">
        <f>$H$1-12</f>
        <v>2006</v>
      </c>
      <c r="J48" s="194"/>
      <c r="K48" s="194"/>
      <c r="L48" s="194"/>
      <c r="M48" s="194"/>
    </row>
    <row r="49" spans="1:13">
      <c r="A49" s="234" t="s">
        <v>455</v>
      </c>
      <c r="B49" t="str">
        <f t="shared" si="2"/>
        <v>Hallenturnfest 2018-06</v>
      </c>
      <c r="C49" s="123">
        <v>1213</v>
      </c>
      <c r="D49" s="197" t="s">
        <v>386</v>
      </c>
      <c r="E49" s="207"/>
      <c r="F49" s="207"/>
      <c r="G49" s="207" t="s">
        <v>532</v>
      </c>
      <c r="H49" s="207">
        <f>$H$1-13</f>
        <v>2005</v>
      </c>
      <c r="I49" s="207">
        <f>$H$1-13</f>
        <v>2005</v>
      </c>
      <c r="J49" s="194"/>
      <c r="K49" s="194"/>
      <c r="L49" s="194"/>
      <c r="M49" s="194"/>
    </row>
    <row r="50" spans="1:13">
      <c r="A50" s="234" t="s">
        <v>456</v>
      </c>
      <c r="B50" t="str">
        <f t="shared" si="2"/>
        <v>Hallenturnfest 2018-07</v>
      </c>
      <c r="C50" s="123">
        <v>1214</v>
      </c>
      <c r="D50" s="197" t="s">
        <v>387</v>
      </c>
      <c r="E50" s="207"/>
      <c r="F50" s="207"/>
      <c r="G50" s="207" t="s">
        <v>532</v>
      </c>
      <c r="H50" s="207">
        <f>$H$1-14</f>
        <v>2004</v>
      </c>
      <c r="I50" s="207">
        <f>$H$1-99</f>
        <v>1919</v>
      </c>
      <c r="J50" s="194"/>
      <c r="K50" s="194"/>
      <c r="L50" s="194"/>
      <c r="M50" s="194"/>
    </row>
    <row r="51" spans="1:13">
      <c r="A51" s="234" t="s">
        <v>457</v>
      </c>
      <c r="B51" t="str">
        <f t="shared" si="2"/>
        <v>Hallenturnfest 2018-08</v>
      </c>
      <c r="C51" s="123">
        <v>1908</v>
      </c>
      <c r="D51" s="197" t="s">
        <v>402</v>
      </c>
      <c r="E51" s="207" t="s">
        <v>532</v>
      </c>
      <c r="F51" s="207"/>
      <c r="G51" s="207"/>
      <c r="H51" s="207">
        <f>$H$1-8</f>
        <v>2010</v>
      </c>
      <c r="I51" s="207">
        <f>$H$1-9</f>
        <v>2009</v>
      </c>
      <c r="L51" s="194"/>
      <c r="M51" s="194"/>
    </row>
    <row r="52" spans="1:13">
      <c r="A52" s="234" t="s">
        <v>458</v>
      </c>
      <c r="B52" t="str">
        <f t="shared" si="2"/>
        <v>Hallenturnfest 2018-09</v>
      </c>
      <c r="C52" s="123">
        <v>1910</v>
      </c>
      <c r="D52" s="197" t="s">
        <v>403</v>
      </c>
      <c r="E52" s="207" t="s">
        <v>532</v>
      </c>
      <c r="F52" s="207"/>
      <c r="G52" s="207"/>
      <c r="H52" s="207">
        <f>$H$1-10</f>
        <v>2008</v>
      </c>
      <c r="I52" s="207">
        <f>$H$1-11</f>
        <v>2007</v>
      </c>
      <c r="L52" s="194"/>
      <c r="M52" s="194"/>
    </row>
    <row r="53" spans="1:13" s="31" customFormat="1">
      <c r="A53" s="234" t="s">
        <v>459</v>
      </c>
      <c r="B53" t="str">
        <f t="shared" si="2"/>
        <v>Hallenturnfest 2018-10</v>
      </c>
      <c r="C53" s="123">
        <v>1912</v>
      </c>
      <c r="D53" s="197" t="s">
        <v>405</v>
      </c>
      <c r="E53" s="207" t="s">
        <v>532</v>
      </c>
      <c r="F53" s="207"/>
      <c r="G53" s="207"/>
      <c r="H53" s="207">
        <f>$H$1-12</f>
        <v>2006</v>
      </c>
      <c r="I53" s="207">
        <f>$H$1-13</f>
        <v>2005</v>
      </c>
      <c r="J53" s="219"/>
      <c r="K53" s="219"/>
      <c r="L53" s="219"/>
      <c r="M53" s="219"/>
    </row>
    <row r="54" spans="1:13" s="31" customFormat="1">
      <c r="A54" s="234" t="s">
        <v>460</v>
      </c>
      <c r="B54" t="str">
        <f t="shared" si="2"/>
        <v>Hallenturnfest 2018-11</v>
      </c>
      <c r="C54" s="123">
        <v>1914</v>
      </c>
      <c r="D54" s="197" t="s">
        <v>404</v>
      </c>
      <c r="E54" s="207" t="s">
        <v>532</v>
      </c>
      <c r="F54" s="207"/>
      <c r="G54" s="207"/>
      <c r="H54" s="207">
        <f>$H$1-14</f>
        <v>2004</v>
      </c>
      <c r="I54" s="207">
        <f>$H$1-99</f>
        <v>1919</v>
      </c>
      <c r="J54" s="219"/>
      <c r="K54" s="219"/>
      <c r="L54" s="219"/>
      <c r="M54" s="219"/>
    </row>
    <row r="55" spans="1:13">
      <c r="A55" s="234" t="s">
        <v>461</v>
      </c>
      <c r="B55" t="str">
        <f t="shared" si="2"/>
        <v>Hallenturnfest 2018-12</v>
      </c>
      <c r="C55" s="123">
        <v>21608</v>
      </c>
      <c r="D55" s="197" t="s">
        <v>410</v>
      </c>
      <c r="E55" s="207" t="s">
        <v>532</v>
      </c>
      <c r="F55" s="207"/>
      <c r="G55" s="207"/>
      <c r="H55" s="207">
        <f>$H$1-8</f>
        <v>2010</v>
      </c>
      <c r="I55" s="207">
        <f>$H$1-9</f>
        <v>2009</v>
      </c>
      <c r="J55" s="194"/>
      <c r="K55" s="194"/>
      <c r="L55" s="194"/>
      <c r="M55" s="194"/>
    </row>
    <row r="56" spans="1:13">
      <c r="A56" s="234" t="s">
        <v>462</v>
      </c>
      <c r="B56" t="str">
        <f t="shared" si="2"/>
        <v>Hallenturnfest 2018-13</v>
      </c>
      <c r="C56" s="123">
        <v>21610</v>
      </c>
      <c r="D56" s="197" t="s">
        <v>411</v>
      </c>
      <c r="E56" s="207" t="s">
        <v>532</v>
      </c>
      <c r="F56" s="207"/>
      <c r="G56" s="207"/>
      <c r="H56" s="207">
        <f>$H$1-10</f>
        <v>2008</v>
      </c>
      <c r="I56" s="207">
        <f>$H$1-11</f>
        <v>2007</v>
      </c>
      <c r="J56" s="194"/>
      <c r="K56" s="194"/>
      <c r="L56" s="194"/>
      <c r="M56" s="194"/>
    </row>
    <row r="57" spans="1:13">
      <c r="A57" s="234" t="s">
        <v>463</v>
      </c>
      <c r="B57" t="str">
        <f t="shared" si="2"/>
        <v>Hallenturnfest 2018-14</v>
      </c>
      <c r="C57" s="123">
        <v>21612</v>
      </c>
      <c r="D57" s="197" t="s">
        <v>412</v>
      </c>
      <c r="E57" s="207" t="s">
        <v>532</v>
      </c>
      <c r="F57" s="207"/>
      <c r="G57" s="207"/>
      <c r="H57" s="207">
        <f>$H$1-12</f>
        <v>2006</v>
      </c>
      <c r="I57" s="207">
        <f>$H$1-13</f>
        <v>2005</v>
      </c>
      <c r="J57" s="194"/>
      <c r="K57" s="194"/>
      <c r="L57" s="194"/>
      <c r="M57" s="194"/>
    </row>
    <row r="58" spans="1:13">
      <c r="A58" s="234" t="s">
        <v>464</v>
      </c>
      <c r="B58" t="str">
        <f t="shared" si="2"/>
        <v>Hallenturnfest 2018-15</v>
      </c>
      <c r="C58" s="123">
        <v>21614</v>
      </c>
      <c r="D58" s="197" t="s">
        <v>413</v>
      </c>
      <c r="E58" s="207" t="s">
        <v>532</v>
      </c>
      <c r="F58" s="207"/>
      <c r="G58" s="207"/>
      <c r="H58" s="207">
        <f>$H$1-14</f>
        <v>2004</v>
      </c>
      <c r="I58" s="207">
        <f>$H$1-99</f>
        <v>1919</v>
      </c>
      <c r="J58" s="194"/>
      <c r="K58" s="194"/>
      <c r="L58" s="194"/>
      <c r="M58" s="194"/>
    </row>
    <row r="59" spans="1:13">
      <c r="A59" s="234" t="s">
        <v>465</v>
      </c>
      <c r="B59" t="str">
        <f t="shared" si="2"/>
        <v>Hallenturnfest 2018-16</v>
      </c>
      <c r="C59" s="123">
        <v>21708</v>
      </c>
      <c r="D59" s="197" t="s">
        <v>388</v>
      </c>
      <c r="E59" s="207"/>
      <c r="F59" s="207"/>
      <c r="G59" s="207" t="s">
        <v>532</v>
      </c>
      <c r="H59" s="207">
        <f>$H$1-8</f>
        <v>2010</v>
      </c>
      <c r="I59" s="207">
        <f>$H$1-8</f>
        <v>2010</v>
      </c>
      <c r="J59" s="194"/>
      <c r="K59" s="194"/>
      <c r="L59" s="194"/>
      <c r="M59" s="194"/>
    </row>
    <row r="60" spans="1:13">
      <c r="A60" s="234" t="s">
        <v>466</v>
      </c>
      <c r="B60" t="str">
        <f t="shared" si="2"/>
        <v>Hallenturnfest 2018-17</v>
      </c>
      <c r="C60" s="123">
        <v>21709</v>
      </c>
      <c r="D60" s="197" t="s">
        <v>389</v>
      </c>
      <c r="E60" s="207"/>
      <c r="F60" s="207"/>
      <c r="G60" s="207" t="s">
        <v>532</v>
      </c>
      <c r="H60" s="207">
        <f>$H$1-9</f>
        <v>2009</v>
      </c>
      <c r="I60" s="207">
        <f>$H$1-9</f>
        <v>2009</v>
      </c>
      <c r="J60" s="194"/>
      <c r="K60" s="194"/>
      <c r="L60" s="194"/>
      <c r="M60" s="194"/>
    </row>
    <row r="61" spans="1:13">
      <c r="A61" s="234" t="s">
        <v>467</v>
      </c>
      <c r="B61" t="str">
        <f t="shared" si="2"/>
        <v>Hallenturnfest 2018-18</v>
      </c>
      <c r="C61" s="123">
        <v>21710</v>
      </c>
      <c r="D61" s="197" t="s">
        <v>390</v>
      </c>
      <c r="E61" s="207"/>
      <c r="F61" s="207"/>
      <c r="G61" s="207" t="s">
        <v>532</v>
      </c>
      <c r="H61" s="207">
        <f>$H$1-10</f>
        <v>2008</v>
      </c>
      <c r="I61" s="207">
        <f>$H$1-10</f>
        <v>2008</v>
      </c>
      <c r="J61" s="194"/>
      <c r="K61" s="194"/>
      <c r="L61" s="194"/>
      <c r="M61" s="194"/>
    </row>
    <row r="62" spans="1:13">
      <c r="A62" s="234" t="s">
        <v>468</v>
      </c>
      <c r="B62" t="str">
        <f t="shared" si="2"/>
        <v>Hallenturnfest 2018-19</v>
      </c>
      <c r="C62" s="123">
        <v>21711</v>
      </c>
      <c r="D62" s="197" t="s">
        <v>391</v>
      </c>
      <c r="E62" s="207"/>
      <c r="F62" s="207"/>
      <c r="G62" s="207" t="s">
        <v>532</v>
      </c>
      <c r="H62" s="207">
        <f>$H$1-11</f>
        <v>2007</v>
      </c>
      <c r="I62" s="207">
        <f>$H$1-11</f>
        <v>2007</v>
      </c>
      <c r="J62" s="194"/>
      <c r="K62" s="194"/>
      <c r="L62" s="194"/>
      <c r="M62" s="194"/>
    </row>
    <row r="63" spans="1:13">
      <c r="A63" s="234" t="s">
        <v>469</v>
      </c>
      <c r="B63" t="str">
        <f t="shared" si="2"/>
        <v>Hallenturnfest 2018-20</v>
      </c>
      <c r="C63" s="123">
        <v>21712</v>
      </c>
      <c r="D63" s="197" t="s">
        <v>392</v>
      </c>
      <c r="E63" s="207"/>
      <c r="F63" s="207"/>
      <c r="G63" s="207" t="s">
        <v>532</v>
      </c>
      <c r="H63" s="207">
        <f>$H$1-12</f>
        <v>2006</v>
      </c>
      <c r="I63" s="207">
        <f>$H$1-12</f>
        <v>2006</v>
      </c>
      <c r="J63" s="194"/>
      <c r="K63" s="194"/>
      <c r="L63" s="194"/>
      <c r="M63" s="194"/>
    </row>
    <row r="64" spans="1:13">
      <c r="A64" s="234" t="s">
        <v>470</v>
      </c>
      <c r="B64" t="str">
        <f t="shared" si="2"/>
        <v>Hallenturnfest 2018-21</v>
      </c>
      <c r="C64" s="123">
        <v>21713</v>
      </c>
      <c r="D64" s="197" t="s">
        <v>393</v>
      </c>
      <c r="E64" s="207"/>
      <c r="F64" s="207"/>
      <c r="G64" s="207" t="s">
        <v>532</v>
      </c>
      <c r="H64" s="207">
        <f>$H$1-13</f>
        <v>2005</v>
      </c>
      <c r="I64" s="207">
        <f>$H$1-13</f>
        <v>2005</v>
      </c>
      <c r="J64" s="194"/>
      <c r="K64" s="194"/>
      <c r="L64" s="194"/>
      <c r="M64" s="194"/>
    </row>
    <row r="65" spans="1:13">
      <c r="A65" s="234" t="s">
        <v>471</v>
      </c>
      <c r="B65" t="str">
        <f t="shared" si="2"/>
        <v>Hallenturnfest 2018-22</v>
      </c>
      <c r="C65" s="123">
        <v>21714</v>
      </c>
      <c r="D65" s="197" t="s">
        <v>394</v>
      </c>
      <c r="E65" s="207"/>
      <c r="F65" s="207"/>
      <c r="G65" s="207" t="s">
        <v>532</v>
      </c>
      <c r="H65" s="207">
        <f>$H$1-14</f>
        <v>2004</v>
      </c>
      <c r="I65" s="207">
        <f>$H$1-99</f>
        <v>1919</v>
      </c>
      <c r="J65" s="194"/>
      <c r="K65" s="194"/>
      <c r="L65" s="194"/>
      <c r="M65" s="194"/>
    </row>
    <row r="66" spans="1:13">
      <c r="A66" s="234" t="s">
        <v>472</v>
      </c>
      <c r="B66" t="str">
        <f t="shared" si="2"/>
        <v>Hallenturnfest 2018-23</v>
      </c>
      <c r="C66" s="123">
        <v>21808</v>
      </c>
      <c r="D66" s="197" t="s">
        <v>395</v>
      </c>
      <c r="E66" s="207"/>
      <c r="F66" s="207"/>
      <c r="G66" s="207" t="s">
        <v>532</v>
      </c>
      <c r="H66" s="207">
        <f>$H$1-8</f>
        <v>2010</v>
      </c>
      <c r="I66" s="207">
        <f>$H$1-8</f>
        <v>2010</v>
      </c>
      <c r="J66" s="194"/>
      <c r="K66" s="194"/>
      <c r="L66" s="194"/>
      <c r="M66" s="194"/>
    </row>
    <row r="67" spans="1:13">
      <c r="A67" s="234" t="s">
        <v>473</v>
      </c>
      <c r="B67" t="str">
        <f t="shared" si="2"/>
        <v>Hallenturnfest 2018-24</v>
      </c>
      <c r="C67" s="123">
        <v>21809</v>
      </c>
      <c r="D67" s="197" t="s">
        <v>396</v>
      </c>
      <c r="E67" s="207"/>
      <c r="F67" s="207"/>
      <c r="G67" s="207" t="s">
        <v>532</v>
      </c>
      <c r="H67" s="207">
        <f>$H$1-9</f>
        <v>2009</v>
      </c>
      <c r="I67" s="207">
        <f>$H$1-9</f>
        <v>2009</v>
      </c>
      <c r="J67" s="194"/>
      <c r="K67" s="194"/>
      <c r="L67" s="194"/>
      <c r="M67" s="194"/>
    </row>
    <row r="68" spans="1:13">
      <c r="A68" s="234" t="s">
        <v>474</v>
      </c>
      <c r="B68" t="str">
        <f t="shared" si="2"/>
        <v>Hallenturnfest 2018-25</v>
      </c>
      <c r="C68" s="123">
        <v>21810</v>
      </c>
      <c r="D68" s="197" t="s">
        <v>397</v>
      </c>
      <c r="E68" s="207"/>
      <c r="F68" s="207"/>
      <c r="G68" s="207" t="s">
        <v>532</v>
      </c>
      <c r="H68" s="207">
        <f>$H$1-10</f>
        <v>2008</v>
      </c>
      <c r="I68" s="207">
        <f>$H$1-10</f>
        <v>2008</v>
      </c>
      <c r="J68" s="194"/>
      <c r="K68" s="194"/>
      <c r="L68" s="194"/>
      <c r="M68" s="194"/>
    </row>
    <row r="69" spans="1:13">
      <c r="A69" s="234" t="s">
        <v>475</v>
      </c>
      <c r="B69" t="str">
        <f t="shared" si="2"/>
        <v>Hallenturnfest 2018-26</v>
      </c>
      <c r="C69" s="123">
        <v>21811</v>
      </c>
      <c r="D69" s="197" t="s">
        <v>398</v>
      </c>
      <c r="E69" s="207"/>
      <c r="F69" s="207"/>
      <c r="G69" s="207" t="s">
        <v>532</v>
      </c>
      <c r="H69" s="207">
        <f>$H$1-11</f>
        <v>2007</v>
      </c>
      <c r="I69" s="207">
        <f>$H$1-11</f>
        <v>2007</v>
      </c>
      <c r="J69" s="194"/>
      <c r="K69" s="194"/>
      <c r="L69" s="194"/>
      <c r="M69" s="194"/>
    </row>
    <row r="70" spans="1:13">
      <c r="A70" s="234" t="s">
        <v>476</v>
      </c>
      <c r="B70" t="str">
        <f t="shared" si="2"/>
        <v>Hallenturnfest 2018-27</v>
      </c>
      <c r="C70" s="123">
        <v>21812</v>
      </c>
      <c r="D70" s="197" t="s">
        <v>399</v>
      </c>
      <c r="E70" s="207"/>
      <c r="F70" s="207"/>
      <c r="G70" s="207" t="s">
        <v>532</v>
      </c>
      <c r="H70" s="207">
        <f>$H$1-12</f>
        <v>2006</v>
      </c>
      <c r="I70" s="207">
        <f>$H$1-12</f>
        <v>2006</v>
      </c>
      <c r="J70" s="194"/>
      <c r="K70" s="194"/>
      <c r="L70" s="194"/>
      <c r="M70" s="194"/>
    </row>
    <row r="71" spans="1:13">
      <c r="A71" s="234" t="s">
        <v>477</v>
      </c>
      <c r="B71" t="str">
        <f t="shared" si="2"/>
        <v>Hallenturnfest 2018-28</v>
      </c>
      <c r="C71" s="123">
        <v>21813</v>
      </c>
      <c r="D71" s="197" t="s">
        <v>400</v>
      </c>
      <c r="E71" s="207"/>
      <c r="F71" s="207"/>
      <c r="G71" s="207" t="s">
        <v>532</v>
      </c>
      <c r="H71" s="207">
        <f>$H$1-13</f>
        <v>2005</v>
      </c>
      <c r="I71" s="207">
        <f>$H$1-13</f>
        <v>2005</v>
      </c>
      <c r="J71" s="194"/>
      <c r="K71" s="194"/>
      <c r="L71" s="194"/>
      <c r="M71" s="194"/>
    </row>
    <row r="72" spans="1:13">
      <c r="A72" s="234" t="s">
        <v>478</v>
      </c>
      <c r="B72" t="str">
        <f t="shared" si="2"/>
        <v>Hallenturnfest 2018-29</v>
      </c>
      <c r="C72" s="123">
        <v>21814</v>
      </c>
      <c r="D72" s="197" t="s">
        <v>401</v>
      </c>
      <c r="E72" s="207"/>
      <c r="F72" s="207"/>
      <c r="G72" s="207" t="s">
        <v>532</v>
      </c>
      <c r="H72" s="207">
        <f>$H$1-14</f>
        <v>2004</v>
      </c>
      <c r="I72" s="207">
        <f>$H$1-99</f>
        <v>1919</v>
      </c>
      <c r="J72" s="194"/>
      <c r="K72" s="194"/>
      <c r="L72" s="194"/>
      <c r="M72" s="194"/>
    </row>
    <row r="73" spans="1:13">
      <c r="A73" s="234" t="s">
        <v>479</v>
      </c>
      <c r="B73" t="str">
        <f t="shared" si="2"/>
        <v>Hallenturnfest 2018-30</v>
      </c>
      <c r="C73" s="123">
        <v>21908</v>
      </c>
      <c r="D73" s="197" t="s">
        <v>406</v>
      </c>
      <c r="E73" s="207" t="s">
        <v>532</v>
      </c>
      <c r="F73" s="207"/>
      <c r="G73" s="207"/>
      <c r="H73" s="207">
        <f>$H$1-8</f>
        <v>2010</v>
      </c>
      <c r="I73" s="207">
        <f>$H$1-9</f>
        <v>2009</v>
      </c>
      <c r="J73" s="194"/>
      <c r="K73" s="194"/>
      <c r="L73" s="194"/>
      <c r="M73" s="194"/>
    </row>
    <row r="74" spans="1:13">
      <c r="A74" s="234" t="s">
        <v>480</v>
      </c>
      <c r="B74" t="str">
        <f t="shared" si="2"/>
        <v>Hallenturnfest 2018-31</v>
      </c>
      <c r="C74" s="123">
        <v>21910</v>
      </c>
      <c r="D74" s="197" t="s">
        <v>407</v>
      </c>
      <c r="E74" s="207" t="s">
        <v>532</v>
      </c>
      <c r="F74" s="207"/>
      <c r="G74" s="207"/>
      <c r="H74" s="207">
        <f>$H$1-10</f>
        <v>2008</v>
      </c>
      <c r="I74" s="207">
        <f>$H$1-11</f>
        <v>2007</v>
      </c>
      <c r="J74" s="194"/>
      <c r="K74" s="194"/>
      <c r="L74" s="194"/>
      <c r="M74" s="194"/>
    </row>
    <row r="75" spans="1:13" s="31" customFormat="1">
      <c r="A75" s="234" t="s">
        <v>481</v>
      </c>
      <c r="B75" t="str">
        <f t="shared" si="2"/>
        <v>Hallenturnfest 2018-32</v>
      </c>
      <c r="C75" s="123">
        <v>21912</v>
      </c>
      <c r="D75" s="197" t="s">
        <v>408</v>
      </c>
      <c r="E75" s="207" t="s">
        <v>532</v>
      </c>
      <c r="F75" s="207"/>
      <c r="G75" s="207"/>
      <c r="H75" s="207">
        <f>$H$1-12</f>
        <v>2006</v>
      </c>
      <c r="I75" s="207">
        <f>$H$1-13</f>
        <v>2005</v>
      </c>
      <c r="J75" s="219"/>
      <c r="K75" s="219"/>
      <c r="L75" s="219"/>
      <c r="M75" s="219"/>
    </row>
    <row r="76" spans="1:13" s="31" customFormat="1">
      <c r="A76" s="234" t="s">
        <v>482</v>
      </c>
      <c r="B76" t="str">
        <f t="shared" si="2"/>
        <v>Hallenturnfest 2018-33</v>
      </c>
      <c r="C76" s="123">
        <v>21914</v>
      </c>
      <c r="D76" s="197" t="s">
        <v>409</v>
      </c>
      <c r="E76" s="207" t="s">
        <v>532</v>
      </c>
      <c r="F76" s="207"/>
      <c r="G76" s="207"/>
      <c r="H76" s="207">
        <f>$H$1-14</f>
        <v>2004</v>
      </c>
      <c r="I76" s="207">
        <f>$H$1-99</f>
        <v>1919</v>
      </c>
      <c r="J76" s="219"/>
      <c r="K76" s="219"/>
      <c r="L76" s="219"/>
      <c r="M76" s="219"/>
    </row>
    <row r="77" spans="1:13">
      <c r="A77" s="234" t="s">
        <v>483</v>
      </c>
      <c r="B77" t="str">
        <f>CONCATENATE($C$42,"-",A77)</f>
        <v>Hallenturnfest 2018-34</v>
      </c>
      <c r="C77" s="123">
        <v>47406</v>
      </c>
      <c r="D77" s="197" t="s">
        <v>548</v>
      </c>
      <c r="E77" s="207"/>
      <c r="F77" s="207" t="s">
        <v>532</v>
      </c>
      <c r="G77" s="207"/>
      <c r="H77" s="207">
        <f>$H$1-6</f>
        <v>2012</v>
      </c>
      <c r="I77" s="207">
        <f>$H$1-7</f>
        <v>2011</v>
      </c>
      <c r="J77" s="194"/>
      <c r="K77" s="194"/>
      <c r="L77" s="194"/>
      <c r="M77" s="194"/>
    </row>
    <row r="78" spans="1:13">
      <c r="A78" s="234" t="s">
        <v>484</v>
      </c>
      <c r="B78" t="str">
        <f t="shared" si="2"/>
        <v>Hallenturnfest 2018-35</v>
      </c>
      <c r="C78" s="123">
        <v>47408</v>
      </c>
      <c r="D78" s="197" t="s">
        <v>581</v>
      </c>
      <c r="E78" s="207"/>
      <c r="F78" s="207" t="s">
        <v>532</v>
      </c>
      <c r="G78" s="207"/>
      <c r="H78" s="207">
        <f>$H$1-6</f>
        <v>2012</v>
      </c>
      <c r="I78" s="207">
        <f>$H$1-7</f>
        <v>2011</v>
      </c>
      <c r="J78" s="194"/>
      <c r="K78" s="194"/>
      <c r="L78" s="194"/>
      <c r="M78" s="194"/>
    </row>
    <row r="79" spans="1:13">
      <c r="A79" s="234" t="s">
        <v>485</v>
      </c>
      <c r="B79" t="str">
        <f>CONCATENATE($C$42,"-",A79)</f>
        <v>Hallenturnfest 2018-36</v>
      </c>
      <c r="C79" s="123">
        <v>47506</v>
      </c>
      <c r="D79" s="197" t="s">
        <v>569</v>
      </c>
      <c r="E79" s="207" t="s">
        <v>532</v>
      </c>
      <c r="F79" s="207"/>
      <c r="G79" s="207"/>
      <c r="H79" s="207">
        <f>$H$1-6</f>
        <v>2012</v>
      </c>
      <c r="I79" s="207">
        <f>$H$1-7</f>
        <v>2011</v>
      </c>
      <c r="J79" s="194"/>
      <c r="K79" s="194"/>
      <c r="L79" s="194"/>
      <c r="M79" s="194"/>
    </row>
    <row r="80" spans="1:13">
      <c r="A80" s="234" t="s">
        <v>486</v>
      </c>
      <c r="B80" t="str">
        <f t="shared" si="2"/>
        <v>Hallenturnfest 2018-37</v>
      </c>
      <c r="C80" s="123">
        <v>47508</v>
      </c>
      <c r="D80" s="197" t="s">
        <v>582</v>
      </c>
      <c r="E80" s="207" t="s">
        <v>532</v>
      </c>
      <c r="F80" s="207"/>
      <c r="G80" s="207"/>
      <c r="H80" s="207">
        <f>$H$1-6</f>
        <v>2012</v>
      </c>
      <c r="I80" s="207">
        <f>$H$1-7</f>
        <v>2011</v>
      </c>
      <c r="J80" s="194"/>
      <c r="K80" s="194"/>
      <c r="L80" s="194"/>
      <c r="M80" s="194"/>
    </row>
    <row r="81" spans="1:16">
      <c r="A81" s="234" t="s">
        <v>488</v>
      </c>
      <c r="B81" t="str">
        <f t="shared" si="2"/>
        <v>Hallenturnfest 2018-38</v>
      </c>
      <c r="C81" s="123" t="s">
        <v>295</v>
      </c>
      <c r="D81" s="198"/>
      <c r="E81" s="208"/>
      <c r="F81" s="208"/>
      <c r="G81" s="208"/>
      <c r="H81" s="208"/>
      <c r="I81" s="208"/>
      <c r="J81" s="194"/>
      <c r="K81" s="194"/>
      <c r="L81" s="194"/>
      <c r="M81" s="194"/>
    </row>
    <row r="82" spans="1:16" s="31" customFormat="1">
      <c r="A82" s="66"/>
      <c r="B82"/>
      <c r="C82" s="156" t="str">
        <f>Veranstaltungen!B5</f>
        <v>Mehrkampftag 2018</v>
      </c>
      <c r="D82" s="17"/>
      <c r="E82" s="93"/>
      <c r="F82" s="93"/>
      <c r="G82" s="93"/>
      <c r="H82" s="93"/>
      <c r="I82" s="93"/>
      <c r="J82">
        <f>ROW(C124)-ROW(C83)-1</f>
        <v>40</v>
      </c>
      <c r="K82" t="s">
        <v>294</v>
      </c>
      <c r="L82"/>
      <c r="M82"/>
      <c r="N82"/>
    </row>
    <row r="83" spans="1:16" s="31" customFormat="1">
      <c r="A83" s="66"/>
      <c r="B83"/>
      <c r="C83" s="123" t="s">
        <v>216</v>
      </c>
      <c r="D83" s="197" t="s">
        <v>48</v>
      </c>
      <c r="E83" s="207" t="s">
        <v>531</v>
      </c>
      <c r="F83" s="207" t="s">
        <v>533</v>
      </c>
      <c r="G83" s="207" t="s">
        <v>534</v>
      </c>
      <c r="H83" s="207" t="s">
        <v>329</v>
      </c>
      <c r="I83" s="207" t="s">
        <v>330</v>
      </c>
      <c r="J83" s="194"/>
      <c r="K83" s="194"/>
      <c r="L83" s="194"/>
      <c r="M83" s="194"/>
      <c r="N83"/>
      <c r="O83"/>
      <c r="P83"/>
    </row>
    <row r="84" spans="1:16" s="31" customFormat="1">
      <c r="A84" s="234" t="s">
        <v>450</v>
      </c>
      <c r="B84" t="str">
        <f>CONCATENATE($C$82,"-",A84)</f>
        <v>Mehrkampftag 2018-01</v>
      </c>
      <c r="C84" s="123">
        <v>1107</v>
      </c>
      <c r="D84" s="197" t="s">
        <v>649</v>
      </c>
      <c r="E84" s="207"/>
      <c r="F84" s="207" t="s">
        <v>532</v>
      </c>
      <c r="G84" s="207" t="s">
        <v>532</v>
      </c>
      <c r="H84" s="207">
        <f>$H$1-7</f>
        <v>2011</v>
      </c>
      <c r="I84" s="207">
        <f>$H$1-7</f>
        <v>2011</v>
      </c>
      <c r="J84" s="219" t="s">
        <v>511</v>
      </c>
      <c r="K84" s="219"/>
      <c r="L84" s="219"/>
      <c r="M84" s="219"/>
      <c r="O84"/>
      <c r="P84"/>
    </row>
    <row r="85" spans="1:16" s="31" customFormat="1">
      <c r="A85" s="234" t="s">
        <v>451</v>
      </c>
      <c r="B85" t="str">
        <f>CONCATENATE($C$82,"-",A85)</f>
        <v>Mehrkampftag 2018-02</v>
      </c>
      <c r="C85" s="123">
        <v>1108</v>
      </c>
      <c r="D85" s="197" t="s">
        <v>296</v>
      </c>
      <c r="E85" s="207"/>
      <c r="F85" s="207" t="s">
        <v>532</v>
      </c>
      <c r="G85" s="207" t="s">
        <v>532</v>
      </c>
      <c r="H85" s="207">
        <f>$H$1-8</f>
        <v>2010</v>
      </c>
      <c r="I85" s="207">
        <f>$H$1-8</f>
        <v>2010</v>
      </c>
      <c r="J85" s="219">
        <v>10</v>
      </c>
      <c r="K85" s="219"/>
      <c r="L85" s="219"/>
      <c r="M85" s="219"/>
      <c r="O85"/>
      <c r="P85"/>
    </row>
    <row r="86" spans="1:16">
      <c r="A86" s="234" t="s">
        <v>452</v>
      </c>
      <c r="B86" t="str">
        <f t="shared" ref="B86:B124" si="3">CONCATENATE($C$82,"-",A86)</f>
        <v>Mehrkampftag 2018-03</v>
      </c>
      <c r="C86" s="123">
        <v>1109</v>
      </c>
      <c r="D86" s="197" t="s">
        <v>297</v>
      </c>
      <c r="E86" s="207"/>
      <c r="F86" s="207" t="s">
        <v>532</v>
      </c>
      <c r="G86" s="207" t="s">
        <v>532</v>
      </c>
      <c r="H86" s="207">
        <f>$H$1-9</f>
        <v>2009</v>
      </c>
      <c r="I86" s="207">
        <f>$H$1-9</f>
        <v>2009</v>
      </c>
      <c r="K86" s="219"/>
      <c r="L86" s="219"/>
      <c r="M86" s="219"/>
      <c r="N86" s="31"/>
    </row>
    <row r="87" spans="1:16">
      <c r="A87" s="234" t="s">
        <v>453</v>
      </c>
      <c r="B87" t="str">
        <f t="shared" si="3"/>
        <v>Mehrkampftag 2018-04</v>
      </c>
      <c r="C87" s="123">
        <v>1110</v>
      </c>
      <c r="D87" s="197" t="s">
        <v>298</v>
      </c>
      <c r="E87" s="207"/>
      <c r="F87" s="207" t="s">
        <v>532</v>
      </c>
      <c r="G87" s="207" t="s">
        <v>532</v>
      </c>
      <c r="H87" s="207">
        <f>$H$1-10</f>
        <v>2008</v>
      </c>
      <c r="I87" s="207">
        <f>$H$1-10</f>
        <v>2008</v>
      </c>
      <c r="J87" s="219"/>
      <c r="K87" s="219"/>
      <c r="L87" s="219"/>
      <c r="M87" s="219"/>
      <c r="N87" s="31"/>
      <c r="O87" s="31"/>
      <c r="P87" s="31"/>
    </row>
    <row r="88" spans="1:16">
      <c r="A88" s="234" t="s">
        <v>454</v>
      </c>
      <c r="B88" t="str">
        <f t="shared" si="3"/>
        <v>Mehrkampftag 2018-05</v>
      </c>
      <c r="C88" s="123">
        <v>1111</v>
      </c>
      <c r="D88" s="197" t="s">
        <v>299</v>
      </c>
      <c r="E88" s="207"/>
      <c r="F88" s="207" t="s">
        <v>532</v>
      </c>
      <c r="G88" s="207" t="s">
        <v>532</v>
      </c>
      <c r="H88" s="207">
        <f>$H$1-11</f>
        <v>2007</v>
      </c>
      <c r="I88" s="207">
        <f>$H$1-11</f>
        <v>2007</v>
      </c>
      <c r="J88" s="219"/>
      <c r="K88" s="219"/>
      <c r="L88" s="219"/>
      <c r="M88" s="219"/>
      <c r="N88" s="31"/>
      <c r="O88" s="31"/>
      <c r="P88" s="31"/>
    </row>
    <row r="89" spans="1:16" s="31" customFormat="1">
      <c r="A89" s="234" t="s">
        <v>455</v>
      </c>
      <c r="B89" t="str">
        <f t="shared" si="3"/>
        <v>Mehrkampftag 2018-06</v>
      </c>
      <c r="C89" s="123">
        <v>1112</v>
      </c>
      <c r="D89" s="197" t="s">
        <v>300</v>
      </c>
      <c r="E89" s="207"/>
      <c r="F89" s="207" t="s">
        <v>532</v>
      </c>
      <c r="G89" s="207" t="s">
        <v>532</v>
      </c>
      <c r="H89" s="207">
        <f>$H$1-12</f>
        <v>2006</v>
      </c>
      <c r="I89" s="207">
        <f>$H$1-12</f>
        <v>2006</v>
      </c>
      <c r="J89" s="219"/>
      <c r="K89" s="219"/>
      <c r="L89" s="219"/>
      <c r="M89" s="219"/>
    </row>
    <row r="90" spans="1:16" s="31" customFormat="1">
      <c r="A90" s="234" t="s">
        <v>456</v>
      </c>
      <c r="B90" t="str">
        <f t="shared" si="3"/>
        <v>Mehrkampftag 2018-07</v>
      </c>
      <c r="C90" s="123">
        <v>1113</v>
      </c>
      <c r="D90" s="197" t="s">
        <v>301</v>
      </c>
      <c r="E90" s="207"/>
      <c r="F90" s="207" t="s">
        <v>532</v>
      </c>
      <c r="G90" s="207" t="s">
        <v>532</v>
      </c>
      <c r="H90" s="207">
        <f>$H$1-13</f>
        <v>2005</v>
      </c>
      <c r="I90" s="207">
        <f>$H$1-13</f>
        <v>2005</v>
      </c>
      <c r="J90" s="219"/>
      <c r="K90" s="219"/>
      <c r="L90" s="219"/>
      <c r="M90" s="219"/>
    </row>
    <row r="91" spans="1:16" s="31" customFormat="1">
      <c r="A91" s="234" t="s">
        <v>457</v>
      </c>
      <c r="B91" t="str">
        <f t="shared" si="3"/>
        <v>Mehrkampftag 2018-08</v>
      </c>
      <c r="C91" s="123">
        <v>1115</v>
      </c>
      <c r="D91" s="197" t="s">
        <v>442</v>
      </c>
      <c r="E91" s="207"/>
      <c r="F91" s="207" t="s">
        <v>532</v>
      </c>
      <c r="G91" s="207" t="s">
        <v>532</v>
      </c>
      <c r="H91" s="207">
        <f>$H$1-14</f>
        <v>2004</v>
      </c>
      <c r="I91" s="207">
        <f>$H$1-15</f>
        <v>2003</v>
      </c>
      <c r="J91" s="219"/>
      <c r="K91" s="219"/>
      <c r="L91" s="219"/>
      <c r="M91" s="219"/>
    </row>
    <row r="92" spans="1:16" s="31" customFormat="1">
      <c r="A92" s="234" t="s">
        <v>458</v>
      </c>
      <c r="B92" t="str">
        <f t="shared" si="3"/>
        <v>Mehrkampftag 2018-09</v>
      </c>
      <c r="C92" s="123">
        <v>1117</v>
      </c>
      <c r="D92" s="197" t="s">
        <v>443</v>
      </c>
      <c r="E92" s="207"/>
      <c r="F92" s="207" t="s">
        <v>532</v>
      </c>
      <c r="G92" s="207" t="s">
        <v>532</v>
      </c>
      <c r="H92" s="207">
        <f>$H$1-16</f>
        <v>2002</v>
      </c>
      <c r="I92" s="207">
        <f>$H$1-17</f>
        <v>2001</v>
      </c>
      <c r="J92" s="219"/>
      <c r="K92" s="219"/>
      <c r="L92" s="219"/>
      <c r="M92" s="219"/>
    </row>
    <row r="93" spans="1:16" s="31" customFormat="1">
      <c r="A93" s="234" t="s">
        <v>459</v>
      </c>
      <c r="B93" t="str">
        <f t="shared" si="3"/>
        <v>Mehrkampftag 2018-10</v>
      </c>
      <c r="C93" s="123">
        <v>1118</v>
      </c>
      <c r="D93" s="197" t="s">
        <v>444</v>
      </c>
      <c r="E93" s="207"/>
      <c r="F93" s="207" t="s">
        <v>532</v>
      </c>
      <c r="G93" s="207" t="s">
        <v>532</v>
      </c>
      <c r="H93" s="207">
        <f>$H$1-18</f>
        <v>2000</v>
      </c>
      <c r="I93" s="207">
        <f>$H$1-99</f>
        <v>1919</v>
      </c>
      <c r="J93" s="219"/>
      <c r="K93" s="219"/>
      <c r="L93" s="219"/>
      <c r="M93" s="219"/>
    </row>
    <row r="94" spans="1:16" s="31" customFormat="1">
      <c r="A94" s="234" t="s">
        <v>460</v>
      </c>
      <c r="B94" t="str">
        <f t="shared" si="3"/>
        <v>Mehrkampftag 2018-11</v>
      </c>
      <c r="C94" s="123">
        <v>1207</v>
      </c>
      <c r="D94" s="197" t="s">
        <v>650</v>
      </c>
      <c r="E94" s="207"/>
      <c r="F94" s="207" t="s">
        <v>532</v>
      </c>
      <c r="G94" s="207" t="s">
        <v>532</v>
      </c>
      <c r="H94" s="207">
        <f>$H$1-7</f>
        <v>2011</v>
      </c>
      <c r="I94" s="207">
        <f>$H$1-7</f>
        <v>2011</v>
      </c>
      <c r="J94" s="219"/>
      <c r="K94" s="219"/>
      <c r="L94" s="219"/>
      <c r="M94" s="219"/>
    </row>
    <row r="95" spans="1:16" s="31" customFormat="1">
      <c r="A95" s="234" t="s">
        <v>461</v>
      </c>
      <c r="B95" t="str">
        <f t="shared" si="3"/>
        <v>Mehrkampftag 2018-12</v>
      </c>
      <c r="C95" s="123">
        <v>1208</v>
      </c>
      <c r="D95" s="197" t="s">
        <v>307</v>
      </c>
      <c r="E95" s="207"/>
      <c r="F95" s="207" t="s">
        <v>532</v>
      </c>
      <c r="G95" s="207" t="s">
        <v>532</v>
      </c>
      <c r="H95" s="207">
        <f>$H$1-8</f>
        <v>2010</v>
      </c>
      <c r="I95" s="207">
        <f>$H$1-8</f>
        <v>2010</v>
      </c>
      <c r="J95" s="219"/>
      <c r="K95" s="219"/>
      <c r="L95" s="219"/>
      <c r="M95" s="219"/>
    </row>
    <row r="96" spans="1:16" s="31" customFormat="1">
      <c r="A96" s="234" t="s">
        <v>462</v>
      </c>
      <c r="B96" t="str">
        <f t="shared" si="3"/>
        <v>Mehrkampftag 2018-13</v>
      </c>
      <c r="C96" s="123">
        <v>1209</v>
      </c>
      <c r="D96" s="197" t="s">
        <v>302</v>
      </c>
      <c r="E96" s="207"/>
      <c r="F96" s="207" t="s">
        <v>532</v>
      </c>
      <c r="G96" s="207" t="s">
        <v>532</v>
      </c>
      <c r="H96" s="207">
        <f>$H$1-9</f>
        <v>2009</v>
      </c>
      <c r="I96" s="207">
        <f>$H$1-9</f>
        <v>2009</v>
      </c>
      <c r="J96" s="219"/>
      <c r="K96" s="219"/>
      <c r="L96" s="219"/>
      <c r="M96" s="219"/>
    </row>
    <row r="97" spans="1:13" s="31" customFormat="1">
      <c r="A97" s="234" t="s">
        <v>463</v>
      </c>
      <c r="B97" t="str">
        <f t="shared" si="3"/>
        <v>Mehrkampftag 2018-14</v>
      </c>
      <c r="C97" s="123">
        <v>1210</v>
      </c>
      <c r="D97" s="197" t="s">
        <v>303</v>
      </c>
      <c r="E97" s="207"/>
      <c r="F97" s="207" t="s">
        <v>532</v>
      </c>
      <c r="G97" s="207" t="s">
        <v>532</v>
      </c>
      <c r="H97" s="207">
        <f>$H$1-10</f>
        <v>2008</v>
      </c>
      <c r="I97" s="207">
        <f>$H$1-10</f>
        <v>2008</v>
      </c>
      <c r="J97" s="219"/>
      <c r="K97" s="219"/>
      <c r="L97" s="219"/>
      <c r="M97" s="219"/>
    </row>
    <row r="98" spans="1:13" s="31" customFormat="1">
      <c r="A98" s="234" t="s">
        <v>464</v>
      </c>
      <c r="B98" t="str">
        <f t="shared" si="3"/>
        <v>Mehrkampftag 2018-15</v>
      </c>
      <c r="C98" s="123">
        <v>1211</v>
      </c>
      <c r="D98" s="197" t="s">
        <v>304</v>
      </c>
      <c r="E98" s="207"/>
      <c r="F98" s="207" t="s">
        <v>532</v>
      </c>
      <c r="G98" s="207" t="s">
        <v>532</v>
      </c>
      <c r="H98" s="207">
        <f>$H$1-11</f>
        <v>2007</v>
      </c>
      <c r="I98" s="207">
        <f>$H$1-11</f>
        <v>2007</v>
      </c>
      <c r="J98" s="219"/>
      <c r="K98" s="219"/>
      <c r="L98" s="219"/>
      <c r="M98" s="219"/>
    </row>
    <row r="99" spans="1:13" s="31" customFormat="1">
      <c r="A99" s="234" t="s">
        <v>465</v>
      </c>
      <c r="B99" t="str">
        <f t="shared" si="3"/>
        <v>Mehrkampftag 2018-16</v>
      </c>
      <c r="C99" s="123">
        <v>1212</v>
      </c>
      <c r="D99" s="197" t="s">
        <v>305</v>
      </c>
      <c r="E99" s="207"/>
      <c r="F99" s="207" t="s">
        <v>532</v>
      </c>
      <c r="G99" s="207" t="s">
        <v>532</v>
      </c>
      <c r="H99" s="207">
        <f>$H$1-12</f>
        <v>2006</v>
      </c>
      <c r="I99" s="207">
        <f>$H$1-12</f>
        <v>2006</v>
      </c>
      <c r="J99" s="219"/>
      <c r="K99" s="219"/>
      <c r="L99" s="219"/>
      <c r="M99" s="219"/>
    </row>
    <row r="100" spans="1:13" s="31" customFormat="1">
      <c r="A100" s="234" t="s">
        <v>466</v>
      </c>
      <c r="B100" t="str">
        <f t="shared" si="3"/>
        <v>Mehrkampftag 2018-17</v>
      </c>
      <c r="C100" s="123">
        <v>1213</v>
      </c>
      <c r="D100" s="197" t="s">
        <v>306</v>
      </c>
      <c r="E100" s="207"/>
      <c r="F100" s="207" t="s">
        <v>532</v>
      </c>
      <c r="G100" s="207" t="s">
        <v>532</v>
      </c>
      <c r="H100" s="207">
        <f>$H$1-13</f>
        <v>2005</v>
      </c>
      <c r="I100" s="207">
        <f>$H$1-13</f>
        <v>2005</v>
      </c>
      <c r="J100" s="219"/>
      <c r="K100" s="219"/>
      <c r="L100" s="219"/>
      <c r="M100" s="219"/>
    </row>
    <row r="101" spans="1:13" s="31" customFormat="1">
      <c r="A101" s="234" t="s">
        <v>467</v>
      </c>
      <c r="B101" t="str">
        <f t="shared" si="3"/>
        <v>Mehrkampftag 2018-18</v>
      </c>
      <c r="C101" s="123">
        <v>1215</v>
      </c>
      <c r="D101" s="197" t="s">
        <v>442</v>
      </c>
      <c r="E101" s="207"/>
      <c r="F101" s="207" t="s">
        <v>532</v>
      </c>
      <c r="G101" s="207" t="s">
        <v>532</v>
      </c>
      <c r="H101" s="207">
        <f>$H$1-14</f>
        <v>2004</v>
      </c>
      <c r="I101" s="207">
        <f>$H$1-15</f>
        <v>2003</v>
      </c>
      <c r="J101" s="219"/>
      <c r="K101" s="219"/>
      <c r="L101" s="219"/>
      <c r="M101" s="219"/>
    </row>
    <row r="102" spans="1:13" s="31" customFormat="1">
      <c r="A102" s="234" t="s">
        <v>468</v>
      </c>
      <c r="B102" t="str">
        <f t="shared" si="3"/>
        <v>Mehrkampftag 2018-19</v>
      </c>
      <c r="C102" s="123">
        <v>1217</v>
      </c>
      <c r="D102" s="197" t="s">
        <v>443</v>
      </c>
      <c r="E102" s="207"/>
      <c r="F102" s="207" t="s">
        <v>532</v>
      </c>
      <c r="G102" s="207" t="s">
        <v>532</v>
      </c>
      <c r="H102" s="207">
        <f>$H$1-16</f>
        <v>2002</v>
      </c>
      <c r="I102" s="207">
        <f>$H$1-17</f>
        <v>2001</v>
      </c>
      <c r="J102" s="219"/>
      <c r="K102" s="219"/>
      <c r="L102" s="219"/>
      <c r="M102" s="219"/>
    </row>
    <row r="103" spans="1:13" s="31" customFormat="1">
      <c r="A103" s="234" t="s">
        <v>469</v>
      </c>
      <c r="B103" t="str">
        <f t="shared" si="3"/>
        <v>Mehrkampftag 2018-20</v>
      </c>
      <c r="C103" s="123">
        <v>1218</v>
      </c>
      <c r="D103" s="197" t="s">
        <v>445</v>
      </c>
      <c r="E103" s="207"/>
      <c r="F103" s="207" t="s">
        <v>532</v>
      </c>
      <c r="G103" s="207" t="s">
        <v>532</v>
      </c>
      <c r="H103" s="207">
        <f>$H$1-18</f>
        <v>2000</v>
      </c>
      <c r="I103" s="207">
        <f>$H$1-99</f>
        <v>1919</v>
      </c>
      <c r="J103" s="219"/>
      <c r="K103" s="219"/>
      <c r="L103" s="219"/>
      <c r="M103" s="219"/>
    </row>
    <row r="104" spans="1:13" s="31" customFormat="1">
      <c r="A104" s="234" t="s">
        <v>470</v>
      </c>
      <c r="B104" t="str">
        <f t="shared" si="3"/>
        <v>Mehrkampftag 2018-21</v>
      </c>
      <c r="C104" s="123">
        <v>49707</v>
      </c>
      <c r="D104" s="197" t="s">
        <v>651</v>
      </c>
      <c r="E104" s="207"/>
      <c r="F104" s="207" t="s">
        <v>532</v>
      </c>
      <c r="G104" s="207" t="s">
        <v>532</v>
      </c>
      <c r="H104" s="207">
        <f>$H$1-7</f>
        <v>2011</v>
      </c>
      <c r="I104" s="207">
        <f>$H$1-7</f>
        <v>2011</v>
      </c>
      <c r="J104" s="219"/>
      <c r="K104" s="219"/>
      <c r="L104" s="219"/>
      <c r="M104" s="219"/>
    </row>
    <row r="105" spans="1:13" s="31" customFormat="1">
      <c r="A105" s="234" t="s">
        <v>471</v>
      </c>
      <c r="B105" t="str">
        <f t="shared" si="3"/>
        <v>Mehrkampftag 2018-22</v>
      </c>
      <c r="C105" s="123">
        <v>49708</v>
      </c>
      <c r="D105" s="197" t="s">
        <v>313</v>
      </c>
      <c r="E105" s="207"/>
      <c r="F105" s="207" t="s">
        <v>532</v>
      </c>
      <c r="G105" s="207" t="s">
        <v>532</v>
      </c>
      <c r="H105" s="207">
        <f>$H$1-8</f>
        <v>2010</v>
      </c>
      <c r="I105" s="207">
        <f>$H$1-8</f>
        <v>2010</v>
      </c>
      <c r="J105" s="219"/>
      <c r="K105" s="219"/>
      <c r="L105" s="219"/>
      <c r="M105" s="219"/>
    </row>
    <row r="106" spans="1:13" s="31" customFormat="1">
      <c r="A106" s="234" t="s">
        <v>472</v>
      </c>
      <c r="B106" t="str">
        <f t="shared" si="3"/>
        <v>Mehrkampftag 2018-23</v>
      </c>
      <c r="C106" s="123">
        <v>49709</v>
      </c>
      <c r="D106" s="197" t="s">
        <v>308</v>
      </c>
      <c r="E106" s="207"/>
      <c r="F106" s="207" t="s">
        <v>532</v>
      </c>
      <c r="G106" s="207" t="s">
        <v>532</v>
      </c>
      <c r="H106" s="207">
        <f>$H$1-9</f>
        <v>2009</v>
      </c>
      <c r="I106" s="207">
        <f>$H$1-9</f>
        <v>2009</v>
      </c>
      <c r="J106" s="219"/>
      <c r="K106" s="219"/>
      <c r="L106" s="219"/>
      <c r="M106" s="219"/>
    </row>
    <row r="107" spans="1:13" s="31" customFormat="1">
      <c r="A107" s="234" t="s">
        <v>473</v>
      </c>
      <c r="B107" t="str">
        <f t="shared" si="3"/>
        <v>Mehrkampftag 2018-24</v>
      </c>
      <c r="C107" s="123">
        <v>49710</v>
      </c>
      <c r="D107" s="197" t="s">
        <v>309</v>
      </c>
      <c r="E107" s="207"/>
      <c r="F107" s="207" t="s">
        <v>532</v>
      </c>
      <c r="G107" s="207" t="s">
        <v>532</v>
      </c>
      <c r="H107" s="207">
        <f>$H$1-10</f>
        <v>2008</v>
      </c>
      <c r="I107" s="207">
        <f>$H$1-10</f>
        <v>2008</v>
      </c>
      <c r="J107" s="219"/>
      <c r="K107" s="219"/>
      <c r="L107" s="219"/>
      <c r="M107" s="219"/>
    </row>
    <row r="108" spans="1:13" s="31" customFormat="1">
      <c r="A108" s="234" t="s">
        <v>474</v>
      </c>
      <c r="B108" t="str">
        <f t="shared" si="3"/>
        <v>Mehrkampftag 2018-25</v>
      </c>
      <c r="C108" s="123">
        <v>49711</v>
      </c>
      <c r="D108" s="197" t="s">
        <v>310</v>
      </c>
      <c r="E108" s="207"/>
      <c r="F108" s="207" t="s">
        <v>532</v>
      </c>
      <c r="G108" s="207" t="s">
        <v>532</v>
      </c>
      <c r="H108" s="207">
        <f>$H$1-11</f>
        <v>2007</v>
      </c>
      <c r="I108" s="207">
        <f>$H$1-11</f>
        <v>2007</v>
      </c>
      <c r="J108" s="219"/>
      <c r="K108" s="219"/>
      <c r="L108" s="219"/>
      <c r="M108" s="219"/>
    </row>
    <row r="109" spans="1:13" s="31" customFormat="1">
      <c r="A109" s="234" t="s">
        <v>475</v>
      </c>
      <c r="B109" t="str">
        <f t="shared" si="3"/>
        <v>Mehrkampftag 2018-26</v>
      </c>
      <c r="C109" s="123">
        <v>49712</v>
      </c>
      <c r="D109" s="197" t="s">
        <v>311</v>
      </c>
      <c r="E109" s="207"/>
      <c r="F109" s="207" t="s">
        <v>532</v>
      </c>
      <c r="G109" s="207" t="s">
        <v>532</v>
      </c>
      <c r="H109" s="207">
        <f>$H$1-12</f>
        <v>2006</v>
      </c>
      <c r="I109" s="207">
        <f>$H$1-12</f>
        <v>2006</v>
      </c>
      <c r="J109" s="219"/>
      <c r="K109" s="219"/>
      <c r="L109" s="219"/>
      <c r="M109" s="219"/>
    </row>
    <row r="110" spans="1:13" s="31" customFormat="1">
      <c r="A110" s="234" t="s">
        <v>476</v>
      </c>
      <c r="B110" t="str">
        <f t="shared" si="3"/>
        <v>Mehrkampftag 2018-27</v>
      </c>
      <c r="C110" s="123">
        <v>49713</v>
      </c>
      <c r="D110" s="197" t="s">
        <v>312</v>
      </c>
      <c r="E110" s="207"/>
      <c r="F110" s="207" t="s">
        <v>532</v>
      </c>
      <c r="G110" s="207" t="s">
        <v>532</v>
      </c>
      <c r="H110" s="207">
        <f>$H$1-13</f>
        <v>2005</v>
      </c>
      <c r="I110" s="207">
        <f>$H$1-13</f>
        <v>2005</v>
      </c>
      <c r="J110" s="219"/>
      <c r="K110" s="219"/>
      <c r="L110" s="219"/>
      <c r="M110" s="219"/>
    </row>
    <row r="111" spans="1:13" s="31" customFormat="1">
      <c r="A111" s="234" t="s">
        <v>477</v>
      </c>
      <c r="B111" t="str">
        <f t="shared" si="3"/>
        <v>Mehrkampftag 2018-28</v>
      </c>
      <c r="C111" s="123">
        <v>49714</v>
      </c>
      <c r="D111" s="197" t="s">
        <v>446</v>
      </c>
      <c r="E111" s="207"/>
      <c r="F111" s="207" t="s">
        <v>532</v>
      </c>
      <c r="G111" s="207" t="s">
        <v>532</v>
      </c>
      <c r="H111" s="207">
        <f>$H$1-14</f>
        <v>2004</v>
      </c>
      <c r="I111" s="207">
        <f>$H$1-15</f>
        <v>2003</v>
      </c>
      <c r="J111" s="219"/>
      <c r="K111" s="219"/>
      <c r="L111" s="219"/>
      <c r="M111" s="219"/>
    </row>
    <row r="112" spans="1:13" s="31" customFormat="1">
      <c r="A112" s="234" t="s">
        <v>478</v>
      </c>
      <c r="B112" t="str">
        <f t="shared" si="3"/>
        <v>Mehrkampftag 2018-29</v>
      </c>
      <c r="C112" s="123">
        <v>49716</v>
      </c>
      <c r="D112" s="197" t="s">
        <v>447</v>
      </c>
      <c r="E112" s="207"/>
      <c r="F112" s="207" t="s">
        <v>532</v>
      </c>
      <c r="G112" s="207" t="s">
        <v>532</v>
      </c>
      <c r="H112" s="207">
        <f>$H$1-16</f>
        <v>2002</v>
      </c>
      <c r="I112" s="207">
        <f>$H$1-17</f>
        <v>2001</v>
      </c>
      <c r="J112" s="219"/>
      <c r="K112" s="219"/>
      <c r="L112" s="219"/>
      <c r="M112" s="219"/>
    </row>
    <row r="113" spans="1:16" s="31" customFormat="1">
      <c r="A113" s="234" t="s">
        <v>479</v>
      </c>
      <c r="B113" t="str">
        <f t="shared" si="3"/>
        <v>Mehrkampftag 2018-30</v>
      </c>
      <c r="C113" s="123">
        <v>49718</v>
      </c>
      <c r="D113" s="197" t="s">
        <v>448</v>
      </c>
      <c r="E113" s="207"/>
      <c r="F113" s="207" t="s">
        <v>532</v>
      </c>
      <c r="G113" s="207" t="s">
        <v>532</v>
      </c>
      <c r="H113" s="207">
        <f>$H$1-18</f>
        <v>2000</v>
      </c>
      <c r="I113" s="207">
        <f>$H$1-19</f>
        <v>1999</v>
      </c>
      <c r="J113" s="219"/>
      <c r="K113" s="219"/>
      <c r="L113" s="219"/>
      <c r="M113" s="219"/>
    </row>
    <row r="114" spans="1:16" s="31" customFormat="1">
      <c r="A114" s="234" t="s">
        <v>480</v>
      </c>
      <c r="B114" t="str">
        <f t="shared" si="3"/>
        <v>Mehrkampftag 2018-31</v>
      </c>
      <c r="C114" s="123">
        <v>49807</v>
      </c>
      <c r="D114" s="197" t="s">
        <v>652</v>
      </c>
      <c r="E114" s="207"/>
      <c r="F114" s="207" t="s">
        <v>532</v>
      </c>
      <c r="G114" s="207" t="s">
        <v>532</v>
      </c>
      <c r="H114" s="207">
        <f>$H$1-7</f>
        <v>2011</v>
      </c>
      <c r="I114" s="207">
        <f>$H$1-7</f>
        <v>2011</v>
      </c>
      <c r="J114" s="219"/>
      <c r="K114" s="219"/>
      <c r="L114" s="219"/>
      <c r="M114" s="219"/>
    </row>
    <row r="115" spans="1:16" s="31" customFormat="1">
      <c r="A115" s="234" t="s">
        <v>481</v>
      </c>
      <c r="B115" t="str">
        <f t="shared" si="3"/>
        <v>Mehrkampftag 2018-32</v>
      </c>
      <c r="C115" s="123">
        <v>49808</v>
      </c>
      <c r="D115" s="197" t="s">
        <v>319</v>
      </c>
      <c r="E115" s="207"/>
      <c r="F115" s="207" t="s">
        <v>532</v>
      </c>
      <c r="G115" s="207" t="s">
        <v>532</v>
      </c>
      <c r="H115" s="207">
        <f>$H$1-8</f>
        <v>2010</v>
      </c>
      <c r="I115" s="207">
        <f>$H$1-8</f>
        <v>2010</v>
      </c>
      <c r="J115" s="219"/>
      <c r="K115" s="219"/>
      <c r="L115" s="219"/>
      <c r="M115" s="219"/>
    </row>
    <row r="116" spans="1:16" s="31" customFormat="1">
      <c r="A116" s="234" t="s">
        <v>482</v>
      </c>
      <c r="B116" t="str">
        <f t="shared" si="3"/>
        <v>Mehrkampftag 2018-33</v>
      </c>
      <c r="C116" s="123">
        <v>49809</v>
      </c>
      <c r="D116" s="197" t="s">
        <v>314</v>
      </c>
      <c r="E116" s="207"/>
      <c r="F116" s="207" t="s">
        <v>532</v>
      </c>
      <c r="G116" s="207" t="s">
        <v>532</v>
      </c>
      <c r="H116" s="207">
        <f>$H$1-9</f>
        <v>2009</v>
      </c>
      <c r="I116" s="207">
        <f>$H$1-9</f>
        <v>2009</v>
      </c>
      <c r="J116" s="219"/>
      <c r="K116" s="219"/>
      <c r="L116" s="219"/>
      <c r="M116" s="219"/>
    </row>
    <row r="117" spans="1:16" s="31" customFormat="1">
      <c r="A117" s="234" t="s">
        <v>483</v>
      </c>
      <c r="B117" t="str">
        <f t="shared" si="3"/>
        <v>Mehrkampftag 2018-34</v>
      </c>
      <c r="C117" s="123">
        <v>49810</v>
      </c>
      <c r="D117" s="197" t="s">
        <v>315</v>
      </c>
      <c r="E117" s="207"/>
      <c r="F117" s="207" t="s">
        <v>532</v>
      </c>
      <c r="G117" s="207" t="s">
        <v>532</v>
      </c>
      <c r="H117" s="207">
        <f>$H$1-10</f>
        <v>2008</v>
      </c>
      <c r="I117" s="207">
        <f>$H$1-10</f>
        <v>2008</v>
      </c>
      <c r="J117" s="219"/>
      <c r="K117" s="219"/>
      <c r="L117" s="219"/>
      <c r="M117" s="219"/>
    </row>
    <row r="118" spans="1:16" s="31" customFormat="1">
      <c r="A118" s="234" t="s">
        <v>484</v>
      </c>
      <c r="B118" t="str">
        <f t="shared" si="3"/>
        <v>Mehrkampftag 2018-35</v>
      </c>
      <c r="C118" s="123">
        <v>49811</v>
      </c>
      <c r="D118" s="197" t="s">
        <v>316</v>
      </c>
      <c r="E118" s="207"/>
      <c r="F118" s="207" t="s">
        <v>532</v>
      </c>
      <c r="G118" s="207" t="s">
        <v>532</v>
      </c>
      <c r="H118" s="207">
        <f>$H$1-11</f>
        <v>2007</v>
      </c>
      <c r="I118" s="207">
        <f>$H$1-11</f>
        <v>2007</v>
      </c>
      <c r="J118" s="219"/>
      <c r="K118" s="219"/>
      <c r="L118" s="219"/>
      <c r="M118" s="219"/>
    </row>
    <row r="119" spans="1:16" s="31" customFormat="1">
      <c r="A119" s="234" t="s">
        <v>485</v>
      </c>
      <c r="B119" t="str">
        <f t="shared" si="3"/>
        <v>Mehrkampftag 2018-36</v>
      </c>
      <c r="C119" s="123">
        <v>49812</v>
      </c>
      <c r="D119" s="197" t="s">
        <v>317</v>
      </c>
      <c r="E119" s="207"/>
      <c r="F119" s="207" t="s">
        <v>532</v>
      </c>
      <c r="G119" s="207" t="s">
        <v>532</v>
      </c>
      <c r="H119" s="207">
        <f>$H$1-12</f>
        <v>2006</v>
      </c>
      <c r="I119" s="207">
        <f>$H$1-12</f>
        <v>2006</v>
      </c>
      <c r="J119" s="219"/>
      <c r="K119" s="219"/>
      <c r="L119" s="219"/>
      <c r="M119" s="219"/>
    </row>
    <row r="120" spans="1:16" s="31" customFormat="1">
      <c r="A120" s="234" t="s">
        <v>486</v>
      </c>
      <c r="B120" t="str">
        <f t="shared" si="3"/>
        <v>Mehrkampftag 2018-37</v>
      </c>
      <c r="C120" s="123">
        <v>49813</v>
      </c>
      <c r="D120" s="197" t="s">
        <v>318</v>
      </c>
      <c r="E120" s="207"/>
      <c r="F120" s="207" t="s">
        <v>532</v>
      </c>
      <c r="G120" s="207" t="s">
        <v>532</v>
      </c>
      <c r="H120" s="207">
        <f>$H$1-13</f>
        <v>2005</v>
      </c>
      <c r="I120" s="207">
        <f>$H$1-13</f>
        <v>2005</v>
      </c>
      <c r="J120" s="219"/>
      <c r="K120" s="219"/>
      <c r="L120" s="219"/>
      <c r="M120" s="219"/>
    </row>
    <row r="121" spans="1:16" s="31" customFormat="1">
      <c r="A121" s="234" t="s">
        <v>488</v>
      </c>
      <c r="B121" t="str">
        <f t="shared" si="3"/>
        <v>Mehrkampftag 2018-38</v>
      </c>
      <c r="C121" s="123">
        <v>49814</v>
      </c>
      <c r="D121" s="197" t="s">
        <v>446</v>
      </c>
      <c r="E121" s="207"/>
      <c r="F121" s="207" t="s">
        <v>532</v>
      </c>
      <c r="G121" s="207" t="s">
        <v>532</v>
      </c>
      <c r="H121" s="207">
        <f>$H$1-14</f>
        <v>2004</v>
      </c>
      <c r="I121" s="207">
        <f>$H$1-15</f>
        <v>2003</v>
      </c>
      <c r="J121" s="219"/>
      <c r="K121" s="219"/>
      <c r="L121" s="219"/>
      <c r="M121" s="219"/>
    </row>
    <row r="122" spans="1:16" s="31" customFormat="1">
      <c r="A122" s="234" t="s">
        <v>489</v>
      </c>
      <c r="B122" t="str">
        <f t="shared" si="3"/>
        <v>Mehrkampftag 2018-39</v>
      </c>
      <c r="C122" s="123">
        <v>49816</v>
      </c>
      <c r="D122" s="197" t="s">
        <v>447</v>
      </c>
      <c r="E122" s="207"/>
      <c r="F122" s="207" t="s">
        <v>532</v>
      </c>
      <c r="G122" s="207" t="s">
        <v>532</v>
      </c>
      <c r="H122" s="207">
        <f>$H$1-16</f>
        <v>2002</v>
      </c>
      <c r="I122" s="207">
        <f>$H$1-17</f>
        <v>2001</v>
      </c>
      <c r="J122" s="219"/>
      <c r="K122" s="219"/>
      <c r="L122" s="219"/>
      <c r="M122" s="219"/>
    </row>
    <row r="123" spans="1:16" s="31" customFormat="1">
      <c r="A123" s="234" t="s">
        <v>490</v>
      </c>
      <c r="B123" t="str">
        <f t="shared" si="3"/>
        <v>Mehrkampftag 2018-40</v>
      </c>
      <c r="C123" s="123">
        <v>49818</v>
      </c>
      <c r="D123" s="197" t="s">
        <v>449</v>
      </c>
      <c r="E123" s="207"/>
      <c r="F123" s="207" t="s">
        <v>532</v>
      </c>
      <c r="G123" s="207" t="s">
        <v>532</v>
      </c>
      <c r="H123" s="207">
        <f>$H$1-18</f>
        <v>2000</v>
      </c>
      <c r="I123" s="207">
        <f>$H$1-19</f>
        <v>1999</v>
      </c>
      <c r="J123" s="219"/>
      <c r="K123" s="219"/>
      <c r="L123" s="219"/>
      <c r="M123" s="219"/>
    </row>
    <row r="124" spans="1:16" s="31" customFormat="1">
      <c r="A124" s="234" t="s">
        <v>653</v>
      </c>
      <c r="B124" t="str">
        <f t="shared" si="3"/>
        <v>Mehrkampftag 2018-41</v>
      </c>
      <c r="C124" s="123" t="s">
        <v>295</v>
      </c>
      <c r="D124" s="197"/>
      <c r="E124" s="207"/>
      <c r="F124" s="207"/>
      <c r="G124" s="207"/>
      <c r="H124" s="207"/>
      <c r="I124" s="207"/>
      <c r="J124" s="194"/>
      <c r="K124" s="194"/>
      <c r="L124" s="194"/>
      <c r="M124" s="194"/>
      <c r="N124"/>
    </row>
    <row r="125" spans="1:16" s="31" customFormat="1">
      <c r="A125" s="66"/>
      <c r="B125"/>
      <c r="C125" s="156" t="str">
        <f>Veranstaltungen!B6</f>
        <v>Tag des Talents 1 2018 Berkheim</v>
      </c>
      <c r="D125" s="17"/>
      <c r="E125" s="93"/>
      <c r="F125" s="93"/>
      <c r="G125" s="93"/>
      <c r="H125" s="93"/>
      <c r="I125" s="93"/>
      <c r="J125">
        <f>ROW(C141)-ROW(C126)-1</f>
        <v>14</v>
      </c>
      <c r="K125" t="s">
        <v>294</v>
      </c>
      <c r="L125"/>
      <c r="M125"/>
      <c r="N125"/>
    </row>
    <row r="126" spans="1:16" s="31" customFormat="1">
      <c r="A126" s="66"/>
      <c r="B126"/>
      <c r="C126" s="123" t="s">
        <v>216</v>
      </c>
      <c r="D126" s="197" t="s">
        <v>48</v>
      </c>
      <c r="E126" s="207" t="s">
        <v>531</v>
      </c>
      <c r="F126" s="207" t="s">
        <v>533</v>
      </c>
      <c r="G126" s="207" t="s">
        <v>534</v>
      </c>
      <c r="H126" s="207" t="s">
        <v>329</v>
      </c>
      <c r="I126" s="207" t="s">
        <v>330</v>
      </c>
      <c r="J126" s="194"/>
      <c r="K126" s="194"/>
      <c r="L126" s="194"/>
      <c r="M126" s="194"/>
      <c r="N126"/>
      <c r="O126"/>
      <c r="P126"/>
    </row>
    <row r="127" spans="1:16" s="31" customFormat="1">
      <c r="A127" s="234" t="s">
        <v>450</v>
      </c>
      <c r="B127" t="str">
        <f>CONCATENATE($C$125,"-",A127)</f>
        <v>Tag des Talents 1 2018 Berkheim-01</v>
      </c>
      <c r="C127" s="123">
        <v>50</v>
      </c>
      <c r="D127" s="197" t="s">
        <v>570</v>
      </c>
      <c r="E127" s="207"/>
      <c r="F127" s="207" t="s">
        <v>532</v>
      </c>
      <c r="G127" s="207"/>
      <c r="H127" s="207">
        <f>$H$1-6</f>
        <v>2012</v>
      </c>
      <c r="I127" s="207">
        <f>$H$1-6</f>
        <v>2012</v>
      </c>
      <c r="J127" s="194" t="s">
        <v>558</v>
      </c>
      <c r="K127" s="194"/>
      <c r="L127" s="194"/>
      <c r="M127" s="194"/>
      <c r="N127"/>
      <c r="O127"/>
      <c r="P127"/>
    </row>
    <row r="128" spans="1:16">
      <c r="A128" s="234" t="s">
        <v>451</v>
      </c>
      <c r="B128" t="str">
        <f t="shared" ref="B128:B141" si="4">CONCATENATE($C$125,"-",A128)</f>
        <v>Tag des Talents 1 2018 Berkheim-02</v>
      </c>
      <c r="C128" s="123">
        <v>51</v>
      </c>
      <c r="D128" s="197" t="s">
        <v>571</v>
      </c>
      <c r="E128" s="207"/>
      <c r="F128" s="207" t="s">
        <v>532</v>
      </c>
      <c r="G128" s="207"/>
      <c r="H128" s="207">
        <f>$H$1-7</f>
        <v>2011</v>
      </c>
      <c r="I128" s="207">
        <f>$H$1-7</f>
        <v>2011</v>
      </c>
      <c r="J128" s="194">
        <v>5</v>
      </c>
      <c r="K128" s="194"/>
      <c r="L128" s="194"/>
      <c r="M128" s="194"/>
    </row>
    <row r="129" spans="1:13">
      <c r="A129" s="234" t="s">
        <v>452</v>
      </c>
      <c r="B129" t="str">
        <f t="shared" si="4"/>
        <v>Tag des Talents 1 2018 Berkheim-03</v>
      </c>
      <c r="C129" s="123">
        <v>52</v>
      </c>
      <c r="D129" s="197" t="s">
        <v>572</v>
      </c>
      <c r="E129" s="207"/>
      <c r="F129" s="207" t="s">
        <v>532</v>
      </c>
      <c r="G129" s="207"/>
      <c r="H129" s="207">
        <f>$H$1-8</f>
        <v>2010</v>
      </c>
      <c r="I129" s="207">
        <f>$H$1-8</f>
        <v>2010</v>
      </c>
      <c r="J129" s="194"/>
      <c r="K129" s="194"/>
      <c r="L129" s="194"/>
      <c r="M129" s="194"/>
    </row>
    <row r="130" spans="1:13">
      <c r="A130" s="234" t="s">
        <v>453</v>
      </c>
      <c r="B130" t="str">
        <f t="shared" si="4"/>
        <v>Tag des Talents 1 2018 Berkheim-04</v>
      </c>
      <c r="C130" s="123">
        <v>53</v>
      </c>
      <c r="D130" s="197" t="s">
        <v>573</v>
      </c>
      <c r="E130" s="207"/>
      <c r="F130" s="207" t="s">
        <v>532</v>
      </c>
      <c r="G130" s="207"/>
      <c r="H130" s="207">
        <f>$H$1-9</f>
        <v>2009</v>
      </c>
      <c r="I130" s="207">
        <f>$H$1-9</f>
        <v>2009</v>
      </c>
      <c r="J130" s="194"/>
      <c r="K130" s="194"/>
      <c r="L130" s="194"/>
      <c r="M130" s="194"/>
    </row>
    <row r="131" spans="1:13">
      <c r="A131" s="234" t="s">
        <v>454</v>
      </c>
      <c r="B131" t="str">
        <f t="shared" si="4"/>
        <v>Tag des Talents 1 2018 Berkheim-05</v>
      </c>
      <c r="C131" s="123">
        <v>54</v>
      </c>
      <c r="D131" s="197" t="s">
        <v>574</v>
      </c>
      <c r="E131" s="207"/>
      <c r="F131" s="207" t="s">
        <v>532</v>
      </c>
      <c r="G131" s="207"/>
      <c r="H131" s="207">
        <f>$H$1-10</f>
        <v>2008</v>
      </c>
      <c r="I131" s="207">
        <f>$H$1-10</f>
        <v>2008</v>
      </c>
      <c r="J131" s="194"/>
      <c r="K131" s="194"/>
      <c r="L131" s="194"/>
      <c r="M131" s="194"/>
    </row>
    <row r="132" spans="1:13">
      <c r="A132" s="234" t="s">
        <v>455</v>
      </c>
      <c r="B132" t="str">
        <f t="shared" si="4"/>
        <v>Tag des Talents 1 2018 Berkheim-06</v>
      </c>
      <c r="C132" s="123">
        <v>60</v>
      </c>
      <c r="D132" s="17" t="s">
        <v>549</v>
      </c>
      <c r="G132" s="93" t="s">
        <v>532</v>
      </c>
      <c r="H132" s="207">
        <f>$H$1-6</f>
        <v>2012</v>
      </c>
      <c r="I132" s="207">
        <f>$H$1-6</f>
        <v>2012</v>
      </c>
      <c r="J132" s="194"/>
      <c r="K132" s="194"/>
      <c r="L132" s="194"/>
      <c r="M132" s="194"/>
    </row>
    <row r="133" spans="1:13">
      <c r="A133" s="234" t="s">
        <v>456</v>
      </c>
      <c r="B133" t="str">
        <f t="shared" si="4"/>
        <v>Tag des Talents 1 2018 Berkheim-07</v>
      </c>
      <c r="C133" s="123">
        <v>61</v>
      </c>
      <c r="D133" s="17" t="s">
        <v>550</v>
      </c>
      <c r="G133" s="93" t="s">
        <v>532</v>
      </c>
      <c r="H133" s="207">
        <f>$H$1-7</f>
        <v>2011</v>
      </c>
      <c r="I133" s="207">
        <f>$H$1-7</f>
        <v>2011</v>
      </c>
      <c r="J133" s="194"/>
      <c r="K133" s="194"/>
      <c r="L133" s="194"/>
      <c r="M133" s="194"/>
    </row>
    <row r="134" spans="1:13">
      <c r="A134" s="234" t="s">
        <v>457</v>
      </c>
      <c r="B134" t="str">
        <f t="shared" si="4"/>
        <v>Tag des Talents 1 2018 Berkheim-08</v>
      </c>
      <c r="C134" s="123">
        <v>62</v>
      </c>
      <c r="D134" s="17" t="s">
        <v>551</v>
      </c>
      <c r="G134" s="93" t="s">
        <v>532</v>
      </c>
      <c r="H134" s="207">
        <f>$H$1-8</f>
        <v>2010</v>
      </c>
      <c r="I134" s="207">
        <f>$H$1-8</f>
        <v>2010</v>
      </c>
      <c r="J134" s="194"/>
      <c r="K134" s="194"/>
      <c r="L134" s="194"/>
      <c r="M134" s="194"/>
    </row>
    <row r="135" spans="1:13">
      <c r="A135" s="234" t="s">
        <v>458</v>
      </c>
      <c r="B135" t="str">
        <f t="shared" si="4"/>
        <v>Tag des Talents 1 2018 Berkheim-09</v>
      </c>
      <c r="C135" s="123">
        <v>63</v>
      </c>
      <c r="D135" s="17" t="s">
        <v>552</v>
      </c>
      <c r="G135" s="93" t="s">
        <v>532</v>
      </c>
      <c r="H135" s="207">
        <f>$H$1-9</f>
        <v>2009</v>
      </c>
      <c r="I135" s="207">
        <f>$H$1-9</f>
        <v>2009</v>
      </c>
    </row>
    <row r="136" spans="1:13">
      <c r="A136" s="234" t="s">
        <v>459</v>
      </c>
      <c r="B136" t="str">
        <f t="shared" si="4"/>
        <v>Tag des Talents 1 2018 Berkheim-10</v>
      </c>
      <c r="C136" s="123">
        <v>64</v>
      </c>
      <c r="D136" s="17" t="s">
        <v>553</v>
      </c>
      <c r="G136" s="93" t="s">
        <v>532</v>
      </c>
      <c r="H136" s="207">
        <f>$H$1-10</f>
        <v>2008</v>
      </c>
      <c r="I136" s="207">
        <f>$H$1-10</f>
        <v>2008</v>
      </c>
    </row>
    <row r="137" spans="1:13">
      <c r="A137" s="234" t="s">
        <v>460</v>
      </c>
      <c r="B137" t="str">
        <f t="shared" si="4"/>
        <v>Tag des Talents 1 2018 Berkheim-11</v>
      </c>
      <c r="C137" s="123">
        <v>71</v>
      </c>
      <c r="D137" s="17" t="s">
        <v>615</v>
      </c>
      <c r="G137" s="93" t="s">
        <v>532</v>
      </c>
      <c r="H137" s="207">
        <f>$H$1-7</f>
        <v>2011</v>
      </c>
      <c r="I137" s="207">
        <f>$H$1-8</f>
        <v>2010</v>
      </c>
    </row>
    <row r="138" spans="1:13">
      <c r="A138" s="234" t="s">
        <v>461</v>
      </c>
      <c r="B138" t="str">
        <f t="shared" si="4"/>
        <v>Tag des Talents 1 2018 Berkheim-12</v>
      </c>
      <c r="C138" s="123">
        <v>72</v>
      </c>
      <c r="D138" s="17" t="s">
        <v>555</v>
      </c>
      <c r="G138" s="93" t="s">
        <v>532</v>
      </c>
      <c r="H138" s="207">
        <f>$H$1-9</f>
        <v>2009</v>
      </c>
      <c r="I138" s="207">
        <f>$H$1-9</f>
        <v>2009</v>
      </c>
    </row>
    <row r="139" spans="1:13">
      <c r="A139" s="234" t="s">
        <v>462</v>
      </c>
      <c r="B139" t="str">
        <f t="shared" si="4"/>
        <v>Tag des Talents 1 2018 Berkheim-13</v>
      </c>
      <c r="C139" s="123">
        <v>73</v>
      </c>
      <c r="D139" s="17" t="s">
        <v>616</v>
      </c>
      <c r="G139" s="93" t="s">
        <v>532</v>
      </c>
      <c r="H139" s="207">
        <f>$H$1-6</f>
        <v>2012</v>
      </c>
      <c r="I139" s="207">
        <f>$H$1-7</f>
        <v>2011</v>
      </c>
    </row>
    <row r="140" spans="1:13">
      <c r="A140" s="234" t="s">
        <v>463</v>
      </c>
      <c r="B140" t="str">
        <f t="shared" si="4"/>
        <v>Tag des Talents 1 2018 Berkheim-14</v>
      </c>
      <c r="C140" s="123">
        <v>74</v>
      </c>
      <c r="D140" s="17" t="s">
        <v>554</v>
      </c>
      <c r="G140" s="93" t="s">
        <v>532</v>
      </c>
      <c r="H140" s="207">
        <f>$H$1-8</f>
        <v>2010</v>
      </c>
      <c r="I140" s="207">
        <f>$H$1-8</f>
        <v>2010</v>
      </c>
    </row>
    <row r="141" spans="1:13">
      <c r="A141" s="234" t="s">
        <v>464</v>
      </c>
      <c r="B141" t="str">
        <f t="shared" si="4"/>
        <v>Tag des Talents 1 2018 Berkheim-15</v>
      </c>
      <c r="C141" s="123" t="s">
        <v>295</v>
      </c>
      <c r="F141" s="207"/>
      <c r="G141" s="207"/>
    </row>
    <row r="142" spans="1:13">
      <c r="C142" s="156" t="str">
        <f>Veranstaltungen!B7</f>
        <v>Tag des Talents 2 2018 Wernau</v>
      </c>
      <c r="J142">
        <f>ROW(C159)-ROW(C143)-1</f>
        <v>15</v>
      </c>
      <c r="K142" t="s">
        <v>294</v>
      </c>
    </row>
    <row r="143" spans="1:13">
      <c r="C143" s="123" t="s">
        <v>216</v>
      </c>
      <c r="D143" s="197" t="s">
        <v>48</v>
      </c>
      <c r="E143" s="207" t="s">
        <v>531</v>
      </c>
      <c r="F143" s="207" t="s">
        <v>533</v>
      </c>
      <c r="G143" s="207" t="s">
        <v>534</v>
      </c>
      <c r="H143" s="207" t="s">
        <v>329</v>
      </c>
      <c r="I143" s="207" t="s">
        <v>330</v>
      </c>
      <c r="J143" s="194"/>
      <c r="K143" s="194"/>
      <c r="L143" s="194"/>
      <c r="M143" s="194"/>
    </row>
    <row r="144" spans="1:13">
      <c r="A144" s="234" t="s">
        <v>450</v>
      </c>
      <c r="B144" t="str">
        <f>CONCATENATE($C$142,"-",A144)</f>
        <v>Tag des Talents 2 2018 Wernau-01</v>
      </c>
      <c r="C144" s="123">
        <v>50</v>
      </c>
      <c r="D144" s="197" t="s">
        <v>570</v>
      </c>
      <c r="E144" s="207"/>
      <c r="F144" s="207" t="s">
        <v>532</v>
      </c>
      <c r="G144" s="207"/>
      <c r="H144" s="207">
        <f>$H$1-6</f>
        <v>2012</v>
      </c>
      <c r="I144" s="207">
        <f>$H$1-6</f>
        <v>2012</v>
      </c>
      <c r="J144" s="194" t="s">
        <v>558</v>
      </c>
      <c r="K144" s="194"/>
      <c r="L144" s="194"/>
      <c r="M144" s="194"/>
    </row>
    <row r="145" spans="1:13">
      <c r="A145" s="234" t="s">
        <v>451</v>
      </c>
      <c r="B145" t="str">
        <f t="shared" ref="B145:B159" si="5">CONCATENATE($C$142,"-",A145)</f>
        <v>Tag des Talents 2 2018 Wernau-02</v>
      </c>
      <c r="C145" s="123">
        <v>51</v>
      </c>
      <c r="D145" s="197" t="s">
        <v>571</v>
      </c>
      <c r="E145" s="207"/>
      <c r="F145" s="207" t="s">
        <v>532</v>
      </c>
      <c r="G145" s="207"/>
      <c r="H145" s="207">
        <f>$H$1-7</f>
        <v>2011</v>
      </c>
      <c r="I145" s="207">
        <f>$H$1-7</f>
        <v>2011</v>
      </c>
      <c r="J145" s="194">
        <v>5</v>
      </c>
      <c r="K145" s="297" t="s">
        <v>576</v>
      </c>
      <c r="L145" s="296">
        <v>2</v>
      </c>
      <c r="M145" s="194" t="s">
        <v>375</v>
      </c>
    </row>
    <row r="146" spans="1:13">
      <c r="A146" s="234" t="s">
        <v>452</v>
      </c>
      <c r="B146" t="str">
        <f t="shared" si="5"/>
        <v>Tag des Talents 2 2018 Wernau-03</v>
      </c>
      <c r="C146" s="123">
        <v>52</v>
      </c>
      <c r="D146" s="197" t="s">
        <v>572</v>
      </c>
      <c r="E146" s="207"/>
      <c r="F146" s="207" t="s">
        <v>532</v>
      </c>
      <c r="G146" s="207"/>
      <c r="H146" s="207">
        <f>$H$1-8</f>
        <v>2010</v>
      </c>
      <c r="I146" s="207">
        <f>$H$1-8</f>
        <v>2010</v>
      </c>
      <c r="J146" s="194"/>
      <c r="K146" s="194"/>
      <c r="L146" s="194"/>
      <c r="M146" s="194"/>
    </row>
    <row r="147" spans="1:13">
      <c r="A147" s="234" t="s">
        <v>453</v>
      </c>
      <c r="B147" t="str">
        <f t="shared" si="5"/>
        <v>Tag des Talents 2 2018 Wernau-04</v>
      </c>
      <c r="C147" s="123">
        <v>53</v>
      </c>
      <c r="D147" s="197" t="s">
        <v>573</v>
      </c>
      <c r="E147" s="207"/>
      <c r="F147" s="207" t="s">
        <v>532</v>
      </c>
      <c r="G147" s="207"/>
      <c r="H147" s="207">
        <f>$H$1-9</f>
        <v>2009</v>
      </c>
      <c r="I147" s="207">
        <f>$H$1-9</f>
        <v>2009</v>
      </c>
      <c r="J147" s="194"/>
      <c r="K147" s="194"/>
      <c r="L147" s="194"/>
      <c r="M147" s="194"/>
    </row>
    <row r="148" spans="1:13">
      <c r="A148" s="234" t="s">
        <v>454</v>
      </c>
      <c r="B148" t="str">
        <f>CONCATENATE($C$142,"-",A148)</f>
        <v>Tag des Talents 2 2018 Wernau-05</v>
      </c>
      <c r="C148" s="123">
        <v>54</v>
      </c>
      <c r="D148" s="197" t="s">
        <v>574</v>
      </c>
      <c r="E148" s="207"/>
      <c r="F148" s="207" t="s">
        <v>532</v>
      </c>
      <c r="G148" s="207"/>
      <c r="H148" s="207">
        <f>$H$1-10</f>
        <v>2008</v>
      </c>
      <c r="I148" s="207">
        <f>$H$1-10</f>
        <v>2008</v>
      </c>
      <c r="J148" s="194"/>
      <c r="K148" s="194"/>
      <c r="L148" s="194"/>
      <c r="M148" s="194"/>
    </row>
    <row r="149" spans="1:13">
      <c r="A149" s="234" t="s">
        <v>455</v>
      </c>
      <c r="B149" t="str">
        <f t="shared" si="5"/>
        <v>Tag des Talents 2 2018 Wernau-06</v>
      </c>
      <c r="C149" s="123">
        <v>55</v>
      </c>
      <c r="D149" s="197" t="s">
        <v>598</v>
      </c>
      <c r="E149" s="207"/>
      <c r="F149" s="207" t="s">
        <v>532</v>
      </c>
      <c r="G149" s="207"/>
      <c r="H149" s="207">
        <f>$H$1-5</f>
        <v>2013</v>
      </c>
      <c r="I149" s="207">
        <f>$H$1-5</f>
        <v>2013</v>
      </c>
      <c r="J149" s="194"/>
      <c r="K149" s="194"/>
      <c r="L149" s="194"/>
      <c r="M149" s="194"/>
    </row>
    <row r="150" spans="1:13">
      <c r="A150" s="234" t="s">
        <v>456</v>
      </c>
      <c r="B150" t="str">
        <f t="shared" si="5"/>
        <v>Tag des Talents 2 2018 Wernau-07</v>
      </c>
      <c r="C150" s="123">
        <v>60</v>
      </c>
      <c r="D150" s="17" t="s">
        <v>549</v>
      </c>
      <c r="G150" s="93" t="s">
        <v>532</v>
      </c>
      <c r="H150" s="207">
        <f>$H$1-6</f>
        <v>2012</v>
      </c>
      <c r="I150" s="207">
        <f>$H$1-6</f>
        <v>2012</v>
      </c>
      <c r="J150" s="194"/>
      <c r="K150" s="194"/>
      <c r="L150" s="194"/>
      <c r="M150" s="194"/>
    </row>
    <row r="151" spans="1:13">
      <c r="A151" s="234" t="s">
        <v>457</v>
      </c>
      <c r="B151" t="str">
        <f t="shared" si="5"/>
        <v>Tag des Talents 2 2018 Wernau-08</v>
      </c>
      <c r="C151" s="123">
        <v>61</v>
      </c>
      <c r="D151" s="17" t="s">
        <v>550</v>
      </c>
      <c r="G151" s="93" t="s">
        <v>532</v>
      </c>
      <c r="H151" s="207">
        <f>$H$1-7</f>
        <v>2011</v>
      </c>
      <c r="I151" s="207">
        <f>$H$1-7</f>
        <v>2011</v>
      </c>
      <c r="J151" s="194"/>
      <c r="K151" s="194"/>
      <c r="L151" s="194"/>
      <c r="M151" s="194"/>
    </row>
    <row r="152" spans="1:13">
      <c r="A152" s="234" t="s">
        <v>458</v>
      </c>
      <c r="B152" t="str">
        <f t="shared" si="5"/>
        <v>Tag des Talents 2 2018 Wernau-09</v>
      </c>
      <c r="C152" s="123">
        <v>62</v>
      </c>
      <c r="D152" s="17" t="s">
        <v>551</v>
      </c>
      <c r="G152" s="93" t="s">
        <v>532</v>
      </c>
      <c r="H152" s="207">
        <f>$H$1-8</f>
        <v>2010</v>
      </c>
      <c r="I152" s="207">
        <f>$H$1-8</f>
        <v>2010</v>
      </c>
      <c r="J152" s="194"/>
      <c r="K152" s="194"/>
      <c r="L152" s="194"/>
      <c r="M152" s="194"/>
    </row>
    <row r="153" spans="1:13">
      <c r="A153" s="234" t="s">
        <v>459</v>
      </c>
      <c r="B153" t="str">
        <f t="shared" ref="B153:B158" si="6">CONCATENATE($C$142,"-",A153)</f>
        <v>Tag des Talents 2 2018 Wernau-10</v>
      </c>
      <c r="C153" s="123">
        <v>63</v>
      </c>
      <c r="D153" s="17" t="s">
        <v>552</v>
      </c>
      <c r="G153" s="93" t="s">
        <v>532</v>
      </c>
      <c r="H153" s="207">
        <f>$H$1-9</f>
        <v>2009</v>
      </c>
      <c r="I153" s="207">
        <f>$H$1-9</f>
        <v>2009</v>
      </c>
      <c r="M153" s="194"/>
    </row>
    <row r="154" spans="1:13">
      <c r="A154" s="234" t="s">
        <v>460</v>
      </c>
      <c r="B154" t="str">
        <f t="shared" si="6"/>
        <v>Tag des Talents 2 2018 Wernau-11</v>
      </c>
      <c r="C154" s="123">
        <v>64</v>
      </c>
      <c r="D154" s="17" t="s">
        <v>553</v>
      </c>
      <c r="G154" s="93" t="s">
        <v>532</v>
      </c>
      <c r="H154" s="207">
        <f>$H$1-10</f>
        <v>2008</v>
      </c>
      <c r="I154" s="207">
        <f>$H$1-10</f>
        <v>2008</v>
      </c>
      <c r="J154" s="194"/>
      <c r="K154" s="194"/>
      <c r="L154" s="194"/>
      <c r="M154" s="194"/>
    </row>
    <row r="155" spans="1:13">
      <c r="A155" s="234" t="s">
        <v>461</v>
      </c>
      <c r="B155" t="str">
        <f t="shared" si="6"/>
        <v>Tag des Talents 2 2018 Wernau-12</v>
      </c>
      <c r="C155" s="123">
        <v>71</v>
      </c>
      <c r="D155" s="17" t="s">
        <v>615</v>
      </c>
      <c r="G155" s="93" t="s">
        <v>532</v>
      </c>
      <c r="H155" s="207">
        <f>$H$1-7</f>
        <v>2011</v>
      </c>
      <c r="I155" s="207">
        <f>$H$1-8</f>
        <v>2010</v>
      </c>
      <c r="J155" s="194"/>
      <c r="K155" s="194"/>
      <c r="L155" s="194"/>
      <c r="M155" s="194"/>
    </row>
    <row r="156" spans="1:13">
      <c r="A156" s="234" t="s">
        <v>462</v>
      </c>
      <c r="B156" t="str">
        <f t="shared" si="6"/>
        <v>Tag des Talents 2 2018 Wernau-13</v>
      </c>
      <c r="C156" s="123">
        <v>72</v>
      </c>
      <c r="D156" s="17" t="s">
        <v>555</v>
      </c>
      <c r="G156" s="93" t="s">
        <v>532</v>
      </c>
      <c r="H156" s="207">
        <f>$H$1-9</f>
        <v>2009</v>
      </c>
      <c r="I156" s="207">
        <f>$H$1-9</f>
        <v>2009</v>
      </c>
      <c r="J156" s="194"/>
      <c r="K156" s="194"/>
      <c r="L156" s="194"/>
      <c r="M156" s="194"/>
    </row>
    <row r="157" spans="1:13">
      <c r="A157" s="234" t="s">
        <v>463</v>
      </c>
      <c r="B157" t="str">
        <f t="shared" si="6"/>
        <v>Tag des Talents 2 2018 Wernau-14</v>
      </c>
      <c r="C157" s="123">
        <v>73</v>
      </c>
      <c r="D157" s="17" t="s">
        <v>616</v>
      </c>
      <c r="G157" s="93" t="s">
        <v>532</v>
      </c>
      <c r="H157" s="207">
        <f>$H$1-6</f>
        <v>2012</v>
      </c>
      <c r="I157" s="207">
        <f>$H$1-7</f>
        <v>2011</v>
      </c>
      <c r="J157" s="194"/>
      <c r="K157" s="194"/>
      <c r="L157" s="194"/>
      <c r="M157" s="194"/>
    </row>
    <row r="158" spans="1:13">
      <c r="A158" s="234" t="s">
        <v>464</v>
      </c>
      <c r="B158" t="str">
        <f t="shared" si="6"/>
        <v>Tag des Talents 2 2018 Wernau-15</v>
      </c>
      <c r="C158" s="123">
        <v>74</v>
      </c>
      <c r="D158" s="17" t="s">
        <v>554</v>
      </c>
      <c r="G158" s="93" t="s">
        <v>532</v>
      </c>
      <c r="H158" s="207">
        <f>$H$1-8</f>
        <v>2010</v>
      </c>
      <c r="I158" s="207">
        <f>$H$1-8</f>
        <v>2010</v>
      </c>
      <c r="J158" s="194"/>
      <c r="K158" s="194"/>
      <c r="L158" s="194"/>
      <c r="M158" s="194"/>
    </row>
    <row r="159" spans="1:13">
      <c r="A159" s="234" t="s">
        <v>465</v>
      </c>
      <c r="B159" t="str">
        <f t="shared" si="5"/>
        <v>Tag des Talents 2 2018 Wernau-16</v>
      </c>
      <c r="C159" s="123" t="s">
        <v>295</v>
      </c>
    </row>
  </sheetData>
  <sheetProtection password="C04C" sheet="1" selectLockedCells="1"/>
  <phoneticPr fontId="3" type="noConversion"/>
  <pageMargins left="0.39370078740157483" right="0.39370078740157483" top="0.59055118110236227" bottom="0.59055118110236227" header="0.31496062992125984" footer="0.31496062992125984"/>
  <pageSetup paperSize="9" scale="45" fitToHeight="2" orientation="portrait" horizontalDpi="429496729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Q8"/>
  <sheetViews>
    <sheetView zoomScaleNormal="100" zoomScaleSheetLayoutView="100" workbookViewId="0"/>
  </sheetViews>
  <sheetFormatPr baseColWidth="10" defaultRowHeight="12.75"/>
  <cols>
    <col min="1" max="1" width="32.85546875" bestFit="1" customWidth="1"/>
    <col min="2" max="2" width="27.42578125" bestFit="1" customWidth="1"/>
    <col min="3" max="3" width="18.7109375" bestFit="1" customWidth="1"/>
    <col min="4" max="4" width="27.42578125" bestFit="1" customWidth="1"/>
    <col min="5" max="5" width="30.5703125" bestFit="1" customWidth="1"/>
    <col min="6" max="6" width="13.28515625" bestFit="1" customWidth="1"/>
    <col min="7" max="7" width="18.42578125" bestFit="1" customWidth="1"/>
    <col min="8" max="8" width="18.85546875" bestFit="1" customWidth="1"/>
    <col min="9" max="9" width="12.42578125" bestFit="1" customWidth="1"/>
    <col min="10" max="10" width="19.42578125" bestFit="1" customWidth="1"/>
    <col min="11" max="11" width="27.140625" bestFit="1" customWidth="1"/>
    <col min="12" max="12" width="19.28515625" bestFit="1" customWidth="1"/>
    <col min="13" max="13" width="12.7109375" bestFit="1" customWidth="1"/>
    <col min="14" max="14" width="20" bestFit="1" customWidth="1"/>
    <col min="15" max="15" width="39.85546875" bestFit="1" customWidth="1"/>
    <col min="16" max="16" width="35.28515625" bestFit="1" customWidth="1"/>
    <col min="17" max="17" width="14.85546875" bestFit="1" customWidth="1"/>
  </cols>
  <sheetData>
    <row r="1" spans="1:17">
      <c r="A1" t="s">
        <v>60</v>
      </c>
      <c r="B1" t="s">
        <v>61</v>
      </c>
      <c r="C1" t="s">
        <v>62</v>
      </c>
      <c r="D1" t="s">
        <v>61</v>
      </c>
      <c r="E1" t="s">
        <v>63</v>
      </c>
      <c r="F1" s="66" t="s">
        <v>64</v>
      </c>
      <c r="G1" t="s">
        <v>219</v>
      </c>
      <c r="H1" t="s">
        <v>65</v>
      </c>
      <c r="I1" s="66" t="s">
        <v>66</v>
      </c>
      <c r="J1" s="66" t="s">
        <v>67</v>
      </c>
      <c r="K1" s="66" t="s">
        <v>172</v>
      </c>
      <c r="L1" t="s">
        <v>217</v>
      </c>
      <c r="M1" t="s">
        <v>218</v>
      </c>
      <c r="N1" t="s">
        <v>219</v>
      </c>
      <c r="O1" t="s">
        <v>72</v>
      </c>
      <c r="P1" t="s">
        <v>220</v>
      </c>
      <c r="Q1" t="s">
        <v>73</v>
      </c>
    </row>
    <row r="2" spans="1:17" s="31" customFormat="1">
      <c r="A2" s="31" t="s">
        <v>625</v>
      </c>
      <c r="B2" s="31" t="s">
        <v>626</v>
      </c>
      <c r="C2" s="31" t="s">
        <v>227</v>
      </c>
      <c r="D2" s="31" t="s">
        <v>627</v>
      </c>
      <c r="E2" s="31" t="s">
        <v>583</v>
      </c>
      <c r="F2" s="284">
        <v>43134</v>
      </c>
      <c r="G2" s="31" t="s">
        <v>289</v>
      </c>
      <c r="H2" s="31" t="s">
        <v>69</v>
      </c>
      <c r="I2" s="284">
        <f>F2-21</f>
        <v>43113</v>
      </c>
      <c r="J2" s="215">
        <f t="shared" ref="J2:J7" si="0">I2+1</f>
        <v>43114</v>
      </c>
      <c r="K2" s="216" t="s">
        <v>547</v>
      </c>
      <c r="L2" s="31" t="s">
        <v>585</v>
      </c>
      <c r="M2" s="31" t="s">
        <v>586</v>
      </c>
      <c r="N2" s="31" t="s">
        <v>587</v>
      </c>
      <c r="O2" s="283" t="s">
        <v>588</v>
      </c>
      <c r="P2" s="219" t="s">
        <v>589</v>
      </c>
      <c r="Q2" s="272" t="s">
        <v>288</v>
      </c>
    </row>
    <row r="3" spans="1:17" s="31" customFormat="1">
      <c r="A3" s="31" t="s">
        <v>625</v>
      </c>
      <c r="B3" s="31" t="s">
        <v>628</v>
      </c>
      <c r="C3" s="31" t="s">
        <v>227</v>
      </c>
      <c r="D3" s="31" t="s">
        <v>627</v>
      </c>
      <c r="E3" s="31" t="s">
        <v>584</v>
      </c>
      <c r="F3" s="309">
        <v>43101</v>
      </c>
      <c r="G3" s="311" t="s">
        <v>635</v>
      </c>
      <c r="H3" s="311" t="s">
        <v>635</v>
      </c>
      <c r="I3" s="309">
        <f>F3</f>
        <v>43101</v>
      </c>
      <c r="J3" s="310">
        <f>I3+1</f>
        <v>43102</v>
      </c>
      <c r="K3" s="216" t="s">
        <v>547</v>
      </c>
      <c r="L3" s="31" t="s">
        <v>585</v>
      </c>
      <c r="M3" s="31" t="s">
        <v>586</v>
      </c>
      <c r="N3" s="31" t="s">
        <v>587</v>
      </c>
      <c r="O3" s="283" t="s">
        <v>588</v>
      </c>
      <c r="P3" s="219" t="s">
        <v>589</v>
      </c>
      <c r="Q3" s="272" t="s">
        <v>288</v>
      </c>
    </row>
    <row r="4" spans="1:17" s="31" customFormat="1">
      <c r="A4" s="31" t="s">
        <v>629</v>
      </c>
      <c r="B4" s="31" t="s">
        <v>630</v>
      </c>
      <c r="C4" s="31" t="s">
        <v>227</v>
      </c>
      <c r="D4" s="31" t="s">
        <v>630</v>
      </c>
      <c r="E4" s="31" t="s">
        <v>351</v>
      </c>
      <c r="F4" s="284">
        <v>43177</v>
      </c>
      <c r="G4" s="31" t="s">
        <v>253</v>
      </c>
      <c r="H4" s="31" t="s">
        <v>40</v>
      </c>
      <c r="I4" s="284">
        <f>F4-21</f>
        <v>43156</v>
      </c>
      <c r="J4" s="215">
        <f t="shared" si="0"/>
        <v>43157</v>
      </c>
      <c r="K4" s="216" t="s">
        <v>147</v>
      </c>
      <c r="L4" s="31" t="s">
        <v>252</v>
      </c>
      <c r="M4" s="31">
        <v>73207</v>
      </c>
      <c r="N4" s="31" t="s">
        <v>253</v>
      </c>
      <c r="O4" s="217" t="s">
        <v>254</v>
      </c>
      <c r="P4" s="31" t="s">
        <v>510</v>
      </c>
      <c r="Q4" s="218" t="s">
        <v>288</v>
      </c>
    </row>
    <row r="5" spans="1:17" s="31" customFormat="1">
      <c r="A5" s="31" t="s">
        <v>631</v>
      </c>
      <c r="B5" s="31" t="s">
        <v>632</v>
      </c>
      <c r="C5" s="31" t="s">
        <v>227</v>
      </c>
      <c r="D5" s="31" t="s">
        <v>632</v>
      </c>
      <c r="E5" s="31" t="s">
        <v>277</v>
      </c>
      <c r="F5" s="284">
        <v>43225</v>
      </c>
      <c r="G5" s="31" t="s">
        <v>352</v>
      </c>
      <c r="H5" s="31" t="s">
        <v>353</v>
      </c>
      <c r="I5" s="284">
        <f>F5-21</f>
        <v>43204</v>
      </c>
      <c r="J5" s="215">
        <f t="shared" si="0"/>
        <v>43205</v>
      </c>
      <c r="K5" s="216" t="s">
        <v>621</v>
      </c>
      <c r="L5" s="31" t="s">
        <v>620</v>
      </c>
      <c r="M5" s="31">
        <v>73730</v>
      </c>
      <c r="N5" s="31" t="s">
        <v>622</v>
      </c>
      <c r="O5" s="217" t="s">
        <v>623</v>
      </c>
      <c r="P5" s="31" t="s">
        <v>624</v>
      </c>
      <c r="Q5" s="218" t="s">
        <v>288</v>
      </c>
    </row>
    <row r="6" spans="1:17" s="31" customFormat="1">
      <c r="A6" s="31" t="s">
        <v>633</v>
      </c>
      <c r="B6" s="31" t="s">
        <v>654</v>
      </c>
      <c r="C6" s="31" t="s">
        <v>227</v>
      </c>
      <c r="D6" s="31" t="s">
        <v>634</v>
      </c>
      <c r="E6" s="31" t="s">
        <v>101</v>
      </c>
      <c r="F6" s="284">
        <v>43372</v>
      </c>
      <c r="G6" s="31" t="s">
        <v>289</v>
      </c>
      <c r="H6" s="31" t="s">
        <v>69</v>
      </c>
      <c r="I6" s="284">
        <f>F6-14</f>
        <v>43358</v>
      </c>
      <c r="J6" s="215">
        <f t="shared" si="0"/>
        <v>43359</v>
      </c>
      <c r="K6" s="216" t="s">
        <v>547</v>
      </c>
      <c r="L6" s="31" t="s">
        <v>585</v>
      </c>
      <c r="M6" s="31" t="s">
        <v>586</v>
      </c>
      <c r="N6" s="31" t="s">
        <v>587</v>
      </c>
      <c r="O6" s="283" t="s">
        <v>588</v>
      </c>
      <c r="P6" s="219" t="s">
        <v>589</v>
      </c>
      <c r="Q6" s="272" t="s">
        <v>288</v>
      </c>
    </row>
    <row r="7" spans="1:17" s="31" customFormat="1">
      <c r="A7" s="31" t="s">
        <v>633</v>
      </c>
      <c r="B7" s="31" t="s">
        <v>655</v>
      </c>
      <c r="C7" s="31" t="s">
        <v>227</v>
      </c>
      <c r="D7" s="31" t="s">
        <v>634</v>
      </c>
      <c r="E7" s="31" t="s">
        <v>101</v>
      </c>
      <c r="F7" s="284">
        <v>43387</v>
      </c>
      <c r="G7" s="31" t="s">
        <v>352</v>
      </c>
      <c r="H7" s="31" t="s">
        <v>353</v>
      </c>
      <c r="I7" s="284">
        <f>F7-15</f>
        <v>43372</v>
      </c>
      <c r="J7" s="215">
        <f t="shared" si="0"/>
        <v>43373</v>
      </c>
      <c r="K7" s="216" t="s">
        <v>590</v>
      </c>
      <c r="L7" s="272" t="s">
        <v>288</v>
      </c>
      <c r="M7" s="272" t="s">
        <v>288</v>
      </c>
      <c r="N7" s="272" t="s">
        <v>288</v>
      </c>
      <c r="O7" s="217" t="s">
        <v>636</v>
      </c>
      <c r="P7" s="31" t="s">
        <v>591</v>
      </c>
      <c r="Q7" s="218" t="s">
        <v>288</v>
      </c>
    </row>
    <row r="8" spans="1:17">
      <c r="A8" t="s">
        <v>151</v>
      </c>
      <c r="B8" t="s">
        <v>151</v>
      </c>
      <c r="C8" t="s">
        <v>152</v>
      </c>
      <c r="D8" t="s">
        <v>152</v>
      </c>
      <c r="E8" t="s">
        <v>152</v>
      </c>
      <c r="F8" t="s">
        <v>152</v>
      </c>
      <c r="G8" t="s">
        <v>152</v>
      </c>
      <c r="H8" t="s">
        <v>152</v>
      </c>
      <c r="I8" t="s">
        <v>152</v>
      </c>
      <c r="J8" t="s">
        <v>152</v>
      </c>
      <c r="K8" s="154" t="s">
        <v>152</v>
      </c>
      <c r="L8" t="s">
        <v>152</v>
      </c>
      <c r="M8" t="s">
        <v>152</v>
      </c>
      <c r="N8" t="s">
        <v>152</v>
      </c>
      <c r="O8" t="s">
        <v>152</v>
      </c>
      <c r="P8" t="s">
        <v>152</v>
      </c>
      <c r="Q8" t="s">
        <v>152</v>
      </c>
    </row>
  </sheetData>
  <sheetProtection password="C04C" sheet="1" objects="1" scenarios="1" selectLockedCells="1"/>
  <phoneticPr fontId="3" type="noConversion"/>
  <hyperlinks>
    <hyperlink ref="O7" r:id="rId1"/>
    <hyperlink ref="O5" r:id="rId2"/>
    <hyperlink ref="O2" r:id="rId3" display="cmc_kroell@web.de"/>
    <hyperlink ref="O3" r:id="rId4" display="cmc_kroell@web.de"/>
    <hyperlink ref="O6" r:id="rId5" display="cmc_kroell@web.de"/>
  </hyperlinks>
  <pageMargins left="0.39370078740157483" right="0.39370078740157483" top="0.98425196850393704" bottom="0.98425196850393704" header="0.51181102362204722" footer="0.51181102362204722"/>
  <pageSetup paperSize="9" scale="36" orientation="landscape" horizontalDpi="4294967294" verticalDpi="300" r:id="rId6"/>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E99"/>
  <sheetViews>
    <sheetView workbookViewId="0"/>
  </sheetViews>
  <sheetFormatPr baseColWidth="10" defaultColWidth="9.140625" defaultRowHeight="12.75"/>
  <cols>
    <col min="1" max="1" width="53.7109375" customWidth="1"/>
    <col min="2" max="2" width="9.140625" customWidth="1"/>
    <col min="3" max="3" width="24.7109375" bestFit="1" customWidth="1"/>
    <col min="4" max="4" width="44.140625" bestFit="1" customWidth="1"/>
    <col min="5" max="5" width="9.140625" style="66" customWidth="1"/>
  </cols>
  <sheetData>
    <row r="1" spans="1:5">
      <c r="A1" s="90" t="s">
        <v>226</v>
      </c>
      <c r="B1" s="90"/>
      <c r="C1" t="s">
        <v>227</v>
      </c>
      <c r="D1" t="str">
        <f>A1</f>
        <v xml:space="preserve">ASV Aichwald </v>
      </c>
      <c r="E1" s="66" t="s">
        <v>105</v>
      </c>
    </row>
    <row r="2" spans="1:5">
      <c r="A2" s="90" t="s">
        <v>240</v>
      </c>
      <c r="B2" s="90"/>
      <c r="C2" t="s">
        <v>227</v>
      </c>
      <c r="D2" s="90" t="s">
        <v>228</v>
      </c>
      <c r="E2" s="234" t="s">
        <v>507</v>
      </c>
    </row>
    <row r="3" spans="1:5">
      <c r="A3" s="90" t="s">
        <v>241</v>
      </c>
      <c r="B3" s="90"/>
      <c r="C3" t="s">
        <v>227</v>
      </c>
      <c r="D3" s="90" t="s">
        <v>229</v>
      </c>
      <c r="E3" s="234" t="s">
        <v>507</v>
      </c>
    </row>
    <row r="4" spans="1:5">
      <c r="A4" s="90" t="s">
        <v>246</v>
      </c>
      <c r="B4" s="90"/>
      <c r="C4" t="s">
        <v>227</v>
      </c>
      <c r="D4" t="str">
        <f>A4</f>
        <v>Gesellschaft Zwieblingen Esslingen</v>
      </c>
      <c r="E4" s="234" t="s">
        <v>507</v>
      </c>
    </row>
    <row r="5" spans="1:5">
      <c r="A5" s="90" t="s">
        <v>230</v>
      </c>
      <c r="B5" s="90"/>
      <c r="C5" t="s">
        <v>227</v>
      </c>
      <c r="D5" t="str">
        <f>A5</f>
        <v xml:space="preserve">Karnevalsfreunde Esslingen </v>
      </c>
      <c r="E5" s="234" t="s">
        <v>507</v>
      </c>
    </row>
    <row r="6" spans="1:5">
      <c r="A6" s="90" t="s">
        <v>141</v>
      </c>
      <c r="B6" s="90"/>
      <c r="C6" t="s">
        <v>227</v>
      </c>
      <c r="D6" s="90" t="str">
        <f>A6</f>
        <v>Narrenbund Neuhausen</v>
      </c>
      <c r="E6" s="234" t="s">
        <v>507</v>
      </c>
    </row>
    <row r="7" spans="1:5">
      <c r="A7" s="90" t="s">
        <v>242</v>
      </c>
      <c r="B7" s="90"/>
      <c r="C7" t="s">
        <v>227</v>
      </c>
      <c r="D7" s="90" t="s">
        <v>231</v>
      </c>
      <c r="E7" s="234" t="s">
        <v>507</v>
      </c>
    </row>
    <row r="8" spans="1:5">
      <c r="A8" s="90" t="s">
        <v>137</v>
      </c>
      <c r="B8" s="90"/>
      <c r="C8" t="s">
        <v>227</v>
      </c>
      <c r="D8" s="90" t="str">
        <f>A8</f>
        <v>RKV Kirchheim</v>
      </c>
      <c r="E8" s="234" t="s">
        <v>507</v>
      </c>
    </row>
    <row r="9" spans="1:5">
      <c r="A9" s="90" t="s">
        <v>142</v>
      </c>
      <c r="B9" s="90"/>
      <c r="C9" t="s">
        <v>227</v>
      </c>
      <c r="D9" s="90" t="str">
        <f>A9</f>
        <v>RSV Reichenbach</v>
      </c>
      <c r="E9" s="234" t="s">
        <v>507</v>
      </c>
    </row>
    <row r="10" spans="1:5">
      <c r="A10" s="90" t="s">
        <v>85</v>
      </c>
      <c r="B10" s="90"/>
      <c r="C10" t="s">
        <v>227</v>
      </c>
      <c r="D10" t="str">
        <f>A10</f>
        <v xml:space="preserve">SC Altbach </v>
      </c>
      <c r="E10" s="234" t="s">
        <v>507</v>
      </c>
    </row>
    <row r="11" spans="1:5">
      <c r="A11" s="90" t="s">
        <v>232</v>
      </c>
      <c r="B11" s="90"/>
      <c r="C11" t="s">
        <v>227</v>
      </c>
      <c r="D11" t="str">
        <f>A11</f>
        <v xml:space="preserve">SC Schneesterne Deizisau </v>
      </c>
      <c r="E11" s="234" t="s">
        <v>507</v>
      </c>
    </row>
    <row r="12" spans="1:5">
      <c r="A12" s="90" t="s">
        <v>248</v>
      </c>
      <c r="B12" s="90"/>
      <c r="C12" t="s">
        <v>227</v>
      </c>
      <c r="D12" s="90" t="str">
        <f>A12</f>
        <v>SF Dettingen-Teck</v>
      </c>
      <c r="E12" s="234" t="s">
        <v>507</v>
      </c>
    </row>
    <row r="13" spans="1:5">
      <c r="A13" s="90" t="s">
        <v>235</v>
      </c>
      <c r="B13" s="90"/>
      <c r="C13" t="s">
        <v>227</v>
      </c>
      <c r="D13" t="str">
        <f t="shared" ref="D13:D37" si="0">A13</f>
        <v>SF Wernau</v>
      </c>
      <c r="E13" s="234" t="s">
        <v>507</v>
      </c>
    </row>
    <row r="14" spans="1:5">
      <c r="A14" s="90" t="s">
        <v>236</v>
      </c>
      <c r="B14" s="90"/>
      <c r="C14" t="s">
        <v>227</v>
      </c>
      <c r="D14" t="str">
        <f t="shared" si="0"/>
        <v>SFC Wolpertingen</v>
      </c>
      <c r="E14" s="234" t="s">
        <v>507</v>
      </c>
    </row>
    <row r="15" spans="1:5">
      <c r="A15" s="90" t="s">
        <v>237</v>
      </c>
      <c r="B15" s="90"/>
      <c r="C15" t="s">
        <v>227</v>
      </c>
      <c r="D15" t="str">
        <f t="shared" si="0"/>
        <v xml:space="preserve">SG Eintracht Sirnau </v>
      </c>
      <c r="E15" s="234" t="s">
        <v>507</v>
      </c>
    </row>
    <row r="16" spans="1:5">
      <c r="A16" s="90" t="s">
        <v>238</v>
      </c>
      <c r="B16" s="90"/>
      <c r="C16" t="s">
        <v>227</v>
      </c>
      <c r="D16" t="str">
        <f t="shared" si="0"/>
        <v xml:space="preserve">SG Erkenbrechtsweiler/Hochwang </v>
      </c>
      <c r="E16" s="234" t="s">
        <v>507</v>
      </c>
    </row>
    <row r="17" spans="1:5">
      <c r="A17" s="90" t="s">
        <v>239</v>
      </c>
      <c r="B17" s="90"/>
      <c r="C17" t="s">
        <v>227</v>
      </c>
      <c r="D17" t="str">
        <f t="shared" si="0"/>
        <v xml:space="preserve">SG Esslingen </v>
      </c>
      <c r="E17" s="234" t="s">
        <v>507</v>
      </c>
    </row>
    <row r="18" spans="1:5">
      <c r="A18" s="90" t="s">
        <v>243</v>
      </c>
      <c r="B18" s="90"/>
      <c r="C18" t="s">
        <v>227</v>
      </c>
      <c r="D18" t="str">
        <f t="shared" si="0"/>
        <v xml:space="preserve">SKV Unterensingen </v>
      </c>
      <c r="E18" s="66" t="s">
        <v>105</v>
      </c>
    </row>
    <row r="19" spans="1:5">
      <c r="A19" s="90" t="s">
        <v>244</v>
      </c>
      <c r="B19" s="90"/>
      <c r="C19" t="s">
        <v>227</v>
      </c>
      <c r="D19" t="str">
        <f t="shared" si="0"/>
        <v xml:space="preserve">SLV Lenninger Tal </v>
      </c>
      <c r="E19" s="234" t="s">
        <v>507</v>
      </c>
    </row>
    <row r="20" spans="1:5">
      <c r="A20" s="90" t="s">
        <v>80</v>
      </c>
      <c r="B20" s="90"/>
      <c r="C20" t="s">
        <v>227</v>
      </c>
      <c r="D20" t="str">
        <f t="shared" si="0"/>
        <v xml:space="preserve">Sport und Spiel auf den Fildern </v>
      </c>
      <c r="E20" s="234" t="s">
        <v>507</v>
      </c>
    </row>
    <row r="21" spans="1:5">
      <c r="A21" s="90" t="s">
        <v>506</v>
      </c>
      <c r="B21" s="90"/>
      <c r="C21" t="s">
        <v>227</v>
      </c>
      <c r="D21" t="str">
        <f>A21</f>
        <v>SPV Nürtingen</v>
      </c>
      <c r="E21" s="66" t="s">
        <v>105</v>
      </c>
    </row>
    <row r="22" spans="1:5">
      <c r="A22" s="90" t="s">
        <v>245</v>
      </c>
      <c r="B22" s="90"/>
      <c r="C22" t="s">
        <v>227</v>
      </c>
      <c r="D22" t="str">
        <f t="shared" si="0"/>
        <v xml:space="preserve">SSF Kappishäuser </v>
      </c>
      <c r="E22" s="234" t="s">
        <v>507</v>
      </c>
    </row>
    <row r="23" spans="1:5">
      <c r="A23" s="90" t="s">
        <v>250</v>
      </c>
      <c r="B23" s="90"/>
      <c r="C23" t="s">
        <v>227</v>
      </c>
      <c r="D23" t="str">
        <f t="shared" si="0"/>
        <v xml:space="preserve">SSV Esslingen </v>
      </c>
      <c r="E23" s="234" t="s">
        <v>507</v>
      </c>
    </row>
    <row r="24" spans="1:5">
      <c r="A24" s="90" t="s">
        <v>323</v>
      </c>
      <c r="B24" s="90"/>
      <c r="C24" t="s">
        <v>227</v>
      </c>
      <c r="D24" t="str">
        <f t="shared" si="0"/>
        <v>SV 1845 Esslingen</v>
      </c>
      <c r="E24" s="66" t="s">
        <v>105</v>
      </c>
    </row>
    <row r="25" spans="1:5">
      <c r="A25" s="90" t="s">
        <v>81</v>
      </c>
      <c r="B25" s="90"/>
      <c r="C25" t="s">
        <v>227</v>
      </c>
      <c r="D25" t="str">
        <f t="shared" si="0"/>
        <v xml:space="preserve">SV Aich </v>
      </c>
      <c r="E25" s="234" t="s">
        <v>507</v>
      </c>
    </row>
    <row r="26" spans="1:5">
      <c r="A26" s="90" t="s">
        <v>255</v>
      </c>
      <c r="B26" s="90"/>
      <c r="C26" t="s">
        <v>227</v>
      </c>
      <c r="D26" t="str">
        <f t="shared" si="0"/>
        <v xml:space="preserve">SV Hardt </v>
      </c>
      <c r="E26" s="234" t="s">
        <v>507</v>
      </c>
    </row>
    <row r="27" spans="1:5">
      <c r="A27" s="90" t="s">
        <v>256</v>
      </c>
      <c r="B27" s="90"/>
      <c r="C27" t="s">
        <v>227</v>
      </c>
      <c r="D27" t="str">
        <f t="shared" si="0"/>
        <v>SV Mettingen</v>
      </c>
      <c r="E27" s="234" t="s">
        <v>507</v>
      </c>
    </row>
    <row r="28" spans="1:5">
      <c r="A28" s="90" t="s">
        <v>257</v>
      </c>
      <c r="B28" s="90"/>
      <c r="C28" t="s">
        <v>227</v>
      </c>
      <c r="D28" t="str">
        <f t="shared" si="0"/>
        <v xml:space="preserve">SV Nabern </v>
      </c>
      <c r="E28" s="66" t="s">
        <v>105</v>
      </c>
    </row>
    <row r="29" spans="1:5">
      <c r="A29" s="90" t="s">
        <v>508</v>
      </c>
      <c r="B29" s="90"/>
      <c r="C29" t="s">
        <v>227</v>
      </c>
      <c r="D29" t="str">
        <f t="shared" si="0"/>
        <v>SV Ostfildern</v>
      </c>
      <c r="E29" s="234" t="s">
        <v>507</v>
      </c>
    </row>
    <row r="30" spans="1:5">
      <c r="A30" s="90" t="s">
        <v>258</v>
      </c>
      <c r="B30" s="90"/>
      <c r="C30" t="s">
        <v>227</v>
      </c>
      <c r="D30" t="str">
        <f t="shared" si="0"/>
        <v xml:space="preserve">SV Reudern </v>
      </c>
      <c r="E30" s="234" t="s">
        <v>507</v>
      </c>
    </row>
    <row r="31" spans="1:5">
      <c r="A31" s="90" t="s">
        <v>259</v>
      </c>
      <c r="B31" s="90"/>
      <c r="C31" t="s">
        <v>227</v>
      </c>
      <c r="D31" t="str">
        <f t="shared" si="0"/>
        <v xml:space="preserve">SV Schlattstall </v>
      </c>
      <c r="E31" s="234" t="s">
        <v>507</v>
      </c>
    </row>
    <row r="32" spans="1:5">
      <c r="A32" s="90" t="s">
        <v>82</v>
      </c>
      <c r="B32" s="90"/>
      <c r="C32" t="s">
        <v>227</v>
      </c>
      <c r="D32" t="str">
        <f t="shared" si="0"/>
        <v xml:space="preserve">Svgg Esslingen </v>
      </c>
      <c r="E32" s="234" t="s">
        <v>507</v>
      </c>
    </row>
    <row r="33" spans="1:5">
      <c r="A33" s="90" t="s">
        <v>260</v>
      </c>
      <c r="B33" s="90"/>
      <c r="C33" t="s">
        <v>227</v>
      </c>
      <c r="D33" t="str">
        <f t="shared" si="0"/>
        <v xml:space="preserve">Svgg Germania Schlaitdorf </v>
      </c>
      <c r="E33" s="66" t="s">
        <v>105</v>
      </c>
    </row>
    <row r="34" spans="1:5">
      <c r="A34" s="90" t="s">
        <v>261</v>
      </c>
      <c r="B34" s="90"/>
      <c r="C34" t="s">
        <v>227</v>
      </c>
      <c r="D34" t="str">
        <f t="shared" si="0"/>
        <v xml:space="preserve">Svgg Nürtingen </v>
      </c>
      <c r="E34" s="234" t="s">
        <v>507</v>
      </c>
    </row>
    <row r="35" spans="1:5">
      <c r="A35" s="90" t="s">
        <v>263</v>
      </c>
      <c r="B35" s="90"/>
      <c r="C35" t="s">
        <v>227</v>
      </c>
      <c r="D35" t="str">
        <f t="shared" si="0"/>
        <v xml:space="preserve">TB Neckarhausen </v>
      </c>
      <c r="E35" s="66" t="s">
        <v>105</v>
      </c>
    </row>
    <row r="36" spans="1:5">
      <c r="A36" s="90" t="s">
        <v>264</v>
      </c>
      <c r="B36" s="90"/>
      <c r="C36" t="s">
        <v>227</v>
      </c>
      <c r="D36" t="str">
        <f t="shared" si="0"/>
        <v xml:space="preserve">TB Neuffen </v>
      </c>
      <c r="E36" s="66" t="s">
        <v>105</v>
      </c>
    </row>
    <row r="37" spans="1:5">
      <c r="A37" s="90" t="s">
        <v>265</v>
      </c>
      <c r="B37" s="90"/>
      <c r="C37" t="s">
        <v>227</v>
      </c>
      <c r="D37" t="str">
        <f t="shared" si="0"/>
        <v xml:space="preserve">TB Ruit </v>
      </c>
      <c r="E37" s="66" t="s">
        <v>105</v>
      </c>
    </row>
    <row r="38" spans="1:5">
      <c r="A38" s="90" t="s">
        <v>138</v>
      </c>
      <c r="B38" s="90"/>
      <c r="C38" t="s">
        <v>227</v>
      </c>
      <c r="D38" s="90" t="str">
        <f>A38</f>
        <v>TG Kirchheim</v>
      </c>
      <c r="E38" s="234" t="s">
        <v>507</v>
      </c>
    </row>
    <row r="39" spans="1:5">
      <c r="A39" s="90" t="s">
        <v>530</v>
      </c>
      <c r="B39" s="90"/>
      <c r="C39" t="s">
        <v>227</v>
      </c>
      <c r="D39" s="90" t="str">
        <f>A39</f>
        <v>TG Lenningen</v>
      </c>
      <c r="E39" s="234"/>
    </row>
    <row r="40" spans="1:5">
      <c r="A40" s="90" t="s">
        <v>266</v>
      </c>
      <c r="B40" s="90"/>
      <c r="C40" t="s">
        <v>227</v>
      </c>
      <c r="D40" t="str">
        <f>A40</f>
        <v xml:space="preserve">TG Nürtingen </v>
      </c>
    </row>
    <row r="41" spans="1:5">
      <c r="A41" s="90" t="s">
        <v>267</v>
      </c>
      <c r="B41" s="90"/>
      <c r="C41" t="s">
        <v>227</v>
      </c>
      <c r="D41" t="str">
        <f>A41</f>
        <v xml:space="preserve">TGV Balzholz </v>
      </c>
      <c r="E41" s="234" t="s">
        <v>507</v>
      </c>
    </row>
    <row r="42" spans="1:5">
      <c r="A42" s="90" t="s">
        <v>139</v>
      </c>
      <c r="B42" s="90"/>
      <c r="C42" t="s">
        <v>227</v>
      </c>
      <c r="D42" s="90" t="str">
        <f>A42</f>
        <v>Trivital Kirchheim/Teck</v>
      </c>
      <c r="E42" s="234" t="s">
        <v>507</v>
      </c>
    </row>
    <row r="43" spans="1:5">
      <c r="A43" s="90" t="s">
        <v>268</v>
      </c>
      <c r="B43" s="90"/>
      <c r="C43" t="s">
        <v>227</v>
      </c>
      <c r="D43" t="str">
        <f t="shared" ref="D43:D49" si="1">A43</f>
        <v xml:space="preserve">Trivital Nürtingen </v>
      </c>
      <c r="E43" s="234" t="s">
        <v>507</v>
      </c>
    </row>
    <row r="44" spans="1:5">
      <c r="A44" s="90" t="s">
        <v>269</v>
      </c>
      <c r="B44" s="90"/>
      <c r="C44" t="s">
        <v>227</v>
      </c>
      <c r="D44" t="str">
        <f t="shared" si="1"/>
        <v>TS Esslingen</v>
      </c>
      <c r="E44" s="234" t="s">
        <v>507</v>
      </c>
    </row>
    <row r="45" spans="1:5">
      <c r="A45" s="90" t="s">
        <v>83</v>
      </c>
      <c r="B45" s="90"/>
      <c r="C45" t="s">
        <v>227</v>
      </c>
      <c r="D45" t="str">
        <f t="shared" si="1"/>
        <v xml:space="preserve">TSG Waldheim Esslingen </v>
      </c>
      <c r="E45" s="234" t="s">
        <v>507</v>
      </c>
    </row>
    <row r="46" spans="1:5">
      <c r="A46" s="90" t="s">
        <v>270</v>
      </c>
      <c r="B46" s="90"/>
      <c r="C46" t="s">
        <v>227</v>
      </c>
      <c r="D46" t="str">
        <f t="shared" si="1"/>
        <v>TSGV Großbettlingen</v>
      </c>
      <c r="E46" s="66" t="s">
        <v>105</v>
      </c>
    </row>
    <row r="47" spans="1:5">
      <c r="A47" s="90" t="s">
        <v>271</v>
      </c>
      <c r="B47" s="90"/>
      <c r="C47" t="s">
        <v>227</v>
      </c>
      <c r="D47" t="str">
        <f t="shared" si="1"/>
        <v xml:space="preserve">TSV Altdorf </v>
      </c>
      <c r="E47" s="234" t="s">
        <v>507</v>
      </c>
    </row>
    <row r="48" spans="1:5">
      <c r="A48" s="90" t="s">
        <v>272</v>
      </c>
      <c r="B48" s="90"/>
      <c r="C48" t="s">
        <v>227</v>
      </c>
      <c r="D48" t="str">
        <f t="shared" si="1"/>
        <v xml:space="preserve">TSV Altenriet </v>
      </c>
      <c r="E48" s="234" t="s">
        <v>507</v>
      </c>
    </row>
    <row r="49" spans="1:5">
      <c r="A49" s="90" t="s">
        <v>273</v>
      </c>
      <c r="B49" s="90"/>
      <c r="C49" t="s">
        <v>227</v>
      </c>
      <c r="D49" t="str">
        <f t="shared" si="1"/>
        <v xml:space="preserve">TSV Baltmannsweiler </v>
      </c>
      <c r="E49" s="66" t="s">
        <v>105</v>
      </c>
    </row>
    <row r="50" spans="1:5">
      <c r="A50" s="90" t="s">
        <v>69</v>
      </c>
      <c r="B50" s="90"/>
      <c r="C50" t="s">
        <v>227</v>
      </c>
      <c r="D50" s="90" t="str">
        <f>A50</f>
        <v>TSV Berkheim</v>
      </c>
      <c r="E50" s="66" t="s">
        <v>105</v>
      </c>
    </row>
    <row r="51" spans="1:5">
      <c r="A51" s="90" t="s">
        <v>247</v>
      </c>
      <c r="B51" s="90"/>
      <c r="C51" t="s">
        <v>227</v>
      </c>
      <c r="D51" s="90" t="str">
        <f>A51</f>
        <v>TSV Beuren</v>
      </c>
      <c r="E51" s="66" t="s">
        <v>105</v>
      </c>
    </row>
    <row r="52" spans="1:5">
      <c r="A52" s="90" t="s">
        <v>0</v>
      </c>
      <c r="B52" s="90"/>
      <c r="C52" t="s">
        <v>227</v>
      </c>
      <c r="D52" t="str">
        <f t="shared" ref="D52:D64" si="2">A52</f>
        <v xml:space="preserve">TSV Deizisau </v>
      </c>
      <c r="E52" s="66" t="s">
        <v>105</v>
      </c>
    </row>
    <row r="53" spans="1:5">
      <c r="A53" s="90" t="s">
        <v>1</v>
      </c>
      <c r="B53" s="90"/>
      <c r="C53" t="s">
        <v>227</v>
      </c>
      <c r="D53" t="str">
        <f t="shared" si="2"/>
        <v xml:space="preserve">TSV Denkendorf </v>
      </c>
      <c r="E53" s="66" t="s">
        <v>105</v>
      </c>
    </row>
    <row r="54" spans="1:5">
      <c r="A54" s="90" t="s">
        <v>2</v>
      </c>
      <c r="B54" s="90"/>
      <c r="C54" t="s">
        <v>227</v>
      </c>
      <c r="D54" t="str">
        <f t="shared" si="2"/>
        <v xml:space="preserve">TSV Frickenhausen </v>
      </c>
      <c r="E54" s="66" t="s">
        <v>105</v>
      </c>
    </row>
    <row r="55" spans="1:5">
      <c r="A55" s="90" t="s">
        <v>3</v>
      </c>
      <c r="B55" s="90"/>
      <c r="C55" t="s">
        <v>227</v>
      </c>
      <c r="D55" t="str">
        <f t="shared" si="2"/>
        <v xml:space="preserve">TSV Grötzingen </v>
      </c>
      <c r="E55" s="234" t="s">
        <v>507</v>
      </c>
    </row>
    <row r="56" spans="1:5">
      <c r="A56" s="90" t="s">
        <v>4</v>
      </c>
      <c r="B56" s="90"/>
      <c r="C56" t="s">
        <v>227</v>
      </c>
      <c r="D56" t="str">
        <f t="shared" si="2"/>
        <v xml:space="preserve">TSV Holzmaden </v>
      </c>
      <c r="E56" s="234" t="s">
        <v>507</v>
      </c>
    </row>
    <row r="57" spans="1:5">
      <c r="A57" s="90" t="s">
        <v>5</v>
      </c>
      <c r="B57" s="90"/>
      <c r="C57" t="s">
        <v>227</v>
      </c>
      <c r="D57" t="str">
        <f t="shared" si="2"/>
        <v>TSV Jesingen</v>
      </c>
      <c r="E57" s="234" t="s">
        <v>507</v>
      </c>
    </row>
    <row r="58" spans="1:5">
      <c r="A58" s="90" t="s">
        <v>6</v>
      </c>
      <c r="B58" s="90"/>
      <c r="C58" t="s">
        <v>227</v>
      </c>
      <c r="D58" t="str">
        <f t="shared" si="2"/>
        <v xml:space="preserve">TSV Kohlberg </v>
      </c>
      <c r="E58" s="66" t="s">
        <v>105</v>
      </c>
    </row>
    <row r="59" spans="1:5">
      <c r="A59" s="90" t="s">
        <v>7</v>
      </c>
      <c r="B59" s="90"/>
      <c r="C59" t="s">
        <v>227</v>
      </c>
      <c r="D59" t="str">
        <f t="shared" si="2"/>
        <v xml:space="preserve">TSV Köngen </v>
      </c>
      <c r="E59" s="66" t="s">
        <v>105</v>
      </c>
    </row>
    <row r="60" spans="1:5">
      <c r="A60" s="90" t="s">
        <v>11</v>
      </c>
      <c r="B60" s="90"/>
      <c r="C60" t="s">
        <v>227</v>
      </c>
      <c r="D60" t="str">
        <f t="shared" si="2"/>
        <v xml:space="preserve">TSV Lichtenwald </v>
      </c>
      <c r="E60" s="66" t="s">
        <v>105</v>
      </c>
    </row>
    <row r="61" spans="1:5">
      <c r="A61" s="90" t="s">
        <v>12</v>
      </c>
      <c r="B61" s="90"/>
      <c r="C61" t="s">
        <v>227</v>
      </c>
      <c r="D61" t="str">
        <f t="shared" si="2"/>
        <v>TSV Linsenhofen</v>
      </c>
      <c r="E61" s="234" t="s">
        <v>507</v>
      </c>
    </row>
    <row r="62" spans="1:5">
      <c r="A62" s="90" t="s">
        <v>13</v>
      </c>
      <c r="B62" s="90"/>
      <c r="C62" t="s">
        <v>227</v>
      </c>
      <c r="D62" t="str">
        <f t="shared" si="2"/>
        <v xml:space="preserve">TSV Neckartailfingen </v>
      </c>
      <c r="E62" s="66" t="s">
        <v>105</v>
      </c>
    </row>
    <row r="63" spans="1:5">
      <c r="A63" s="90" t="s">
        <v>14</v>
      </c>
      <c r="B63" s="90"/>
      <c r="C63" t="s">
        <v>227</v>
      </c>
      <c r="D63" t="str">
        <f t="shared" si="2"/>
        <v xml:space="preserve">TSV Neckartenzlingen </v>
      </c>
      <c r="E63" s="234" t="s">
        <v>507</v>
      </c>
    </row>
    <row r="64" spans="1:5">
      <c r="A64" s="90" t="s">
        <v>15</v>
      </c>
      <c r="B64" s="90"/>
      <c r="C64" t="s">
        <v>227</v>
      </c>
      <c r="D64" t="str">
        <f t="shared" si="2"/>
        <v xml:space="preserve">TSV Neuenhaus </v>
      </c>
      <c r="E64" s="66" t="s">
        <v>105</v>
      </c>
    </row>
    <row r="65" spans="1:5">
      <c r="A65" s="90" t="s">
        <v>16</v>
      </c>
      <c r="B65" s="90"/>
      <c r="C65" t="s">
        <v>227</v>
      </c>
      <c r="D65" t="str">
        <f>A65</f>
        <v>TSV Neuhausen</v>
      </c>
      <c r="E65" s="66" t="s">
        <v>105</v>
      </c>
    </row>
    <row r="66" spans="1:5">
      <c r="A66" s="90" t="s">
        <v>17</v>
      </c>
      <c r="B66" s="90"/>
      <c r="C66" t="s">
        <v>227</v>
      </c>
      <c r="D66" t="str">
        <f t="shared" ref="D66:D75" si="3">A66</f>
        <v xml:space="preserve">TSV Notzingen </v>
      </c>
      <c r="E66" s="234" t="s">
        <v>507</v>
      </c>
    </row>
    <row r="67" spans="1:5">
      <c r="A67" s="90" t="s">
        <v>18</v>
      </c>
      <c r="B67" s="90"/>
      <c r="C67" t="s">
        <v>227</v>
      </c>
      <c r="D67" t="str">
        <f t="shared" si="3"/>
        <v>TSV Oberboihingen</v>
      </c>
      <c r="E67" s="234" t="s">
        <v>507</v>
      </c>
    </row>
    <row r="68" spans="1:5">
      <c r="A68" s="90" t="s">
        <v>529</v>
      </c>
      <c r="B68" s="90"/>
      <c r="C68" t="s">
        <v>227</v>
      </c>
      <c r="D68" t="str">
        <f>A68</f>
        <v>TSV Oberensingen</v>
      </c>
      <c r="E68" s="234" t="s">
        <v>507</v>
      </c>
    </row>
    <row r="69" spans="1:5">
      <c r="A69" s="90" t="s">
        <v>19</v>
      </c>
      <c r="B69" s="90"/>
      <c r="C69" t="s">
        <v>227</v>
      </c>
      <c r="D69" t="str">
        <f t="shared" si="3"/>
        <v xml:space="preserve">TSV Oberlenningen </v>
      </c>
      <c r="E69" s="66" t="s">
        <v>105</v>
      </c>
    </row>
    <row r="70" spans="1:5">
      <c r="A70" s="90" t="s">
        <v>20</v>
      </c>
      <c r="B70" s="90"/>
      <c r="C70" t="s">
        <v>227</v>
      </c>
      <c r="D70" t="str">
        <f t="shared" si="3"/>
        <v xml:space="preserve">TSV Ohmden </v>
      </c>
      <c r="E70" s="66" t="s">
        <v>105</v>
      </c>
    </row>
    <row r="71" spans="1:5">
      <c r="A71" s="90" t="s">
        <v>21</v>
      </c>
      <c r="B71" s="90"/>
      <c r="C71" t="s">
        <v>227</v>
      </c>
      <c r="D71" t="str">
        <f t="shared" si="3"/>
        <v xml:space="preserve">TSV Ötlingen </v>
      </c>
      <c r="E71" s="66" t="s">
        <v>105</v>
      </c>
    </row>
    <row r="72" spans="1:5">
      <c r="A72" s="90" t="s">
        <v>22</v>
      </c>
      <c r="B72" s="90"/>
      <c r="C72" t="s">
        <v>227</v>
      </c>
      <c r="D72" t="str">
        <f t="shared" si="3"/>
        <v xml:space="preserve">TSV Owen </v>
      </c>
      <c r="E72" s="66" t="s">
        <v>105</v>
      </c>
    </row>
    <row r="73" spans="1:5">
      <c r="A73" s="90" t="s">
        <v>23</v>
      </c>
      <c r="B73" s="90"/>
      <c r="C73" t="s">
        <v>227</v>
      </c>
      <c r="D73" t="str">
        <f t="shared" si="3"/>
        <v xml:space="preserve">TSV Raidwangen </v>
      </c>
      <c r="E73" s="66" t="s">
        <v>105</v>
      </c>
    </row>
    <row r="74" spans="1:5">
      <c r="A74" s="90" t="s">
        <v>84</v>
      </c>
      <c r="B74" s="90"/>
      <c r="C74" t="s">
        <v>227</v>
      </c>
      <c r="D74" t="str">
        <f t="shared" si="3"/>
        <v xml:space="preserve">TSV RSK Esslingen </v>
      </c>
      <c r="E74" s="234" t="s">
        <v>507</v>
      </c>
    </row>
    <row r="75" spans="1:5">
      <c r="A75" s="90" t="s">
        <v>24</v>
      </c>
      <c r="B75" s="90"/>
      <c r="C75" t="s">
        <v>227</v>
      </c>
      <c r="D75" t="str">
        <f t="shared" si="3"/>
        <v xml:space="preserve">TSV Scharnhausen </v>
      </c>
      <c r="E75" s="234" t="s">
        <v>507</v>
      </c>
    </row>
    <row r="76" spans="1:5">
      <c r="A76" s="90" t="s">
        <v>144</v>
      </c>
      <c r="B76" s="90"/>
      <c r="C76" t="s">
        <v>227</v>
      </c>
      <c r="D76" s="90" t="str">
        <f>A76</f>
        <v>TSV Schopfloch</v>
      </c>
      <c r="E76" s="234" t="s">
        <v>507</v>
      </c>
    </row>
    <row r="77" spans="1:5">
      <c r="A77" s="90" t="s">
        <v>25</v>
      </c>
      <c r="B77" s="90"/>
      <c r="C77" t="s">
        <v>227</v>
      </c>
      <c r="D77" t="str">
        <f>A77</f>
        <v xml:space="preserve">TSV Wäldenbronn </v>
      </c>
      <c r="E77" s="66" t="s">
        <v>105</v>
      </c>
    </row>
    <row r="78" spans="1:5">
      <c r="A78" s="90" t="s">
        <v>153</v>
      </c>
      <c r="B78" s="90"/>
      <c r="C78" t="s">
        <v>227</v>
      </c>
      <c r="D78" t="str">
        <f>A78</f>
        <v>TSV Weilheim</v>
      </c>
      <c r="E78" s="234" t="s">
        <v>507</v>
      </c>
    </row>
    <row r="79" spans="1:5">
      <c r="A79" s="90" t="s">
        <v>26</v>
      </c>
      <c r="B79" s="90"/>
      <c r="C79" t="s">
        <v>227</v>
      </c>
      <c r="D79" t="str">
        <f t="shared" ref="D79:D84" si="4">A79</f>
        <v xml:space="preserve">TSV Wendlingen </v>
      </c>
      <c r="E79" s="66" t="s">
        <v>105</v>
      </c>
    </row>
    <row r="80" spans="1:5">
      <c r="A80" s="90" t="s">
        <v>27</v>
      </c>
      <c r="B80" s="90"/>
      <c r="C80" t="s">
        <v>227</v>
      </c>
      <c r="D80" t="str">
        <f t="shared" si="4"/>
        <v xml:space="preserve">TSV Wernau </v>
      </c>
      <c r="E80" s="66" t="s">
        <v>105</v>
      </c>
    </row>
    <row r="81" spans="1:5">
      <c r="A81" s="90" t="s">
        <v>30</v>
      </c>
      <c r="B81" s="90"/>
      <c r="C81" t="s">
        <v>227</v>
      </c>
      <c r="D81" t="str">
        <f t="shared" si="4"/>
        <v xml:space="preserve">TSV Wolfschlugen </v>
      </c>
      <c r="E81" s="66" t="s">
        <v>105</v>
      </c>
    </row>
    <row r="82" spans="1:5">
      <c r="A82" s="90" t="s">
        <v>31</v>
      </c>
      <c r="B82" s="90"/>
      <c r="C82" t="s">
        <v>227</v>
      </c>
      <c r="D82" t="str">
        <f t="shared" si="4"/>
        <v xml:space="preserve">TSV Zizishausen </v>
      </c>
      <c r="E82" s="234" t="s">
        <v>507</v>
      </c>
    </row>
    <row r="83" spans="1:5">
      <c r="A83" s="90" t="s">
        <v>32</v>
      </c>
      <c r="B83" s="90"/>
      <c r="C83" t="s">
        <v>227</v>
      </c>
      <c r="D83" t="str">
        <f t="shared" si="4"/>
        <v xml:space="preserve">TV Altbach </v>
      </c>
      <c r="E83" s="66" t="s">
        <v>105</v>
      </c>
    </row>
    <row r="84" spans="1:5">
      <c r="A84" s="90" t="s">
        <v>33</v>
      </c>
      <c r="B84" s="90"/>
      <c r="C84" t="s">
        <v>227</v>
      </c>
      <c r="D84" t="str">
        <f t="shared" si="4"/>
        <v xml:space="preserve">TV Bempflingen </v>
      </c>
      <c r="E84" s="66" t="s">
        <v>105</v>
      </c>
    </row>
    <row r="85" spans="1:5">
      <c r="A85" s="90" t="s">
        <v>34</v>
      </c>
      <c r="B85" s="90"/>
      <c r="C85" t="s">
        <v>227</v>
      </c>
      <c r="D85" s="90" t="str">
        <f t="shared" ref="D85:D99" si="5">A85</f>
        <v>TV Bissingen</v>
      </c>
      <c r="E85" s="66" t="s">
        <v>105</v>
      </c>
    </row>
    <row r="86" spans="1:5">
      <c r="A86" s="90" t="s">
        <v>35</v>
      </c>
      <c r="B86" s="90"/>
      <c r="C86" t="s">
        <v>227</v>
      </c>
      <c r="D86" t="str">
        <f t="shared" si="5"/>
        <v xml:space="preserve">TV Gutenberg </v>
      </c>
      <c r="E86" s="66" t="s">
        <v>105</v>
      </c>
    </row>
    <row r="87" spans="1:5">
      <c r="A87" s="90" t="s">
        <v>36</v>
      </c>
      <c r="B87" s="90"/>
      <c r="C87" t="s">
        <v>227</v>
      </c>
      <c r="D87" t="str">
        <f t="shared" si="5"/>
        <v xml:space="preserve">TV Hegensberg </v>
      </c>
      <c r="E87" s="66" t="s">
        <v>105</v>
      </c>
    </row>
    <row r="88" spans="1:5">
      <c r="A88" s="90" t="s">
        <v>249</v>
      </c>
      <c r="B88" s="90"/>
      <c r="C88" t="s">
        <v>227</v>
      </c>
      <c r="D88" s="90" t="str">
        <f t="shared" si="5"/>
        <v>TV Hochdorf</v>
      </c>
      <c r="E88" s="66" t="s">
        <v>105</v>
      </c>
    </row>
    <row r="89" spans="1:5">
      <c r="A89" s="90" t="s">
        <v>37</v>
      </c>
      <c r="B89" s="90"/>
      <c r="C89" t="s">
        <v>227</v>
      </c>
      <c r="D89" t="str">
        <f t="shared" si="5"/>
        <v xml:space="preserve">TV Kemnat </v>
      </c>
      <c r="E89" s="234" t="s">
        <v>507</v>
      </c>
    </row>
    <row r="90" spans="1:5">
      <c r="A90" s="90" t="s">
        <v>38</v>
      </c>
      <c r="B90" s="90"/>
      <c r="C90" t="s">
        <v>227</v>
      </c>
      <c r="D90" t="str">
        <f t="shared" si="5"/>
        <v xml:space="preserve">TV Liebersbronn </v>
      </c>
      <c r="E90" s="66" t="s">
        <v>105</v>
      </c>
    </row>
    <row r="91" spans="1:5">
      <c r="A91" s="90" t="s">
        <v>39</v>
      </c>
      <c r="B91" s="90"/>
      <c r="C91" t="s">
        <v>227</v>
      </c>
      <c r="D91" t="str">
        <f t="shared" si="5"/>
        <v xml:space="preserve">TV Neidlingen </v>
      </c>
      <c r="E91" s="234" t="s">
        <v>507</v>
      </c>
    </row>
    <row r="92" spans="1:5">
      <c r="A92" s="90" t="s">
        <v>140</v>
      </c>
      <c r="B92" s="90"/>
      <c r="C92" t="s">
        <v>227</v>
      </c>
      <c r="D92" s="90" t="str">
        <f t="shared" si="5"/>
        <v>TV Nellingen</v>
      </c>
      <c r="E92" s="66" t="s">
        <v>105</v>
      </c>
    </row>
    <row r="93" spans="1:5">
      <c r="A93" s="90" t="s">
        <v>40</v>
      </c>
      <c r="B93" s="90"/>
      <c r="C93" t="s">
        <v>227</v>
      </c>
      <c r="D93" t="str">
        <f t="shared" si="5"/>
        <v>TV Plochingen</v>
      </c>
      <c r="E93" s="66" t="s">
        <v>105</v>
      </c>
    </row>
    <row r="94" spans="1:5">
      <c r="A94" s="90" t="s">
        <v>143</v>
      </c>
      <c r="B94" s="90"/>
      <c r="C94" t="s">
        <v>227</v>
      </c>
      <c r="D94" s="90" t="str">
        <f t="shared" si="5"/>
        <v>TV Reichenbach</v>
      </c>
      <c r="E94" s="66" t="s">
        <v>105</v>
      </c>
    </row>
    <row r="95" spans="1:5">
      <c r="A95" s="90" t="s">
        <v>43</v>
      </c>
      <c r="B95" s="90"/>
      <c r="C95" t="s">
        <v>227</v>
      </c>
      <c r="D95" t="str">
        <f t="shared" si="5"/>
        <v xml:space="preserve">TV Tischardt </v>
      </c>
      <c r="E95" s="234" t="s">
        <v>507</v>
      </c>
    </row>
    <row r="96" spans="1:5">
      <c r="A96" s="90" t="s">
        <v>44</v>
      </c>
      <c r="B96" s="90"/>
      <c r="C96" t="s">
        <v>227</v>
      </c>
      <c r="D96" t="str">
        <f t="shared" si="5"/>
        <v xml:space="preserve">TV Unterboihingen </v>
      </c>
      <c r="E96" s="66" t="s">
        <v>105</v>
      </c>
    </row>
    <row r="97" spans="1:5">
      <c r="A97" s="90" t="s">
        <v>45</v>
      </c>
      <c r="B97" s="90"/>
      <c r="C97" t="s">
        <v>227</v>
      </c>
      <c r="D97" t="str">
        <f t="shared" si="5"/>
        <v xml:space="preserve">TV Unterlenningen </v>
      </c>
      <c r="E97" s="66" t="s">
        <v>105</v>
      </c>
    </row>
    <row r="98" spans="1:5">
      <c r="A98" s="90" t="s">
        <v>154</v>
      </c>
      <c r="B98" s="90"/>
      <c r="C98" t="s">
        <v>227</v>
      </c>
      <c r="D98" s="90" t="str">
        <f t="shared" si="5"/>
        <v>TV Zell</v>
      </c>
      <c r="E98" s="66" t="s">
        <v>105</v>
      </c>
    </row>
    <row r="99" spans="1:5">
      <c r="A99" s="90" t="s">
        <v>136</v>
      </c>
      <c r="B99" s="90"/>
      <c r="C99" t="s">
        <v>227</v>
      </c>
      <c r="D99" s="90" t="str">
        <f t="shared" si="5"/>
        <v>VfL Kirchheim/Teck</v>
      </c>
      <c r="E99" s="66" t="s">
        <v>105</v>
      </c>
    </row>
  </sheetData>
  <sheetProtection password="C04C" sheet="1" objects="1" scenarios="1" selectLockedCells="1"/>
  <phoneticPr fontId="3"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15</vt:i4>
      </vt:variant>
    </vt:vector>
  </HeadingPairs>
  <TitlesOfParts>
    <vt:vector size="28" baseType="lpstr">
      <vt:lpstr>Anleitung</vt:lpstr>
      <vt:lpstr>Deckblatt</vt:lpstr>
      <vt:lpstr>Teilnehmer</vt:lpstr>
      <vt:lpstr>Mannschaften</vt:lpstr>
      <vt:lpstr>Kampfrichter</vt:lpstr>
      <vt:lpstr>Übersicht</vt:lpstr>
      <vt:lpstr>WK-Vorlagen</vt:lpstr>
      <vt:lpstr>Veranstaltungen</vt:lpstr>
      <vt:lpstr>Vereine</vt:lpstr>
      <vt:lpstr>Veranstalter</vt:lpstr>
      <vt:lpstr>Kampfrichter-Fachgebiete</vt:lpstr>
      <vt:lpstr>Kampfrichter-Lizenzen</vt:lpstr>
      <vt:lpstr>Schwierigkeitsstufen</vt:lpstr>
      <vt:lpstr>Auswahl_LA</vt:lpstr>
      <vt:lpstr>Mannschaften!Druckbereich</vt:lpstr>
      <vt:lpstr>Schwierigkeitsstufen!Druckbereich</vt:lpstr>
      <vt:lpstr>Teilnehmer!Druckbereich</vt:lpstr>
      <vt:lpstr>Geburtsdatum_Maximal</vt:lpstr>
      <vt:lpstr>Geburtsdatum_Minimal</vt:lpstr>
      <vt:lpstr>Jahr</vt:lpstr>
      <vt:lpstr>Kampfrichter_Fachgebietsliste</vt:lpstr>
      <vt:lpstr>Kampfrichterlizenzliste</vt:lpstr>
      <vt:lpstr>MannschaftsNrListe</vt:lpstr>
      <vt:lpstr>Veranstalterliste</vt:lpstr>
      <vt:lpstr>Veranstaltungsliste</vt:lpstr>
      <vt:lpstr>Vereinsliste</vt:lpstr>
      <vt:lpstr>WKNrListe</vt:lpstr>
      <vt:lpstr>WKNrListeMannschaft</vt:lpstr>
    </vt:vector>
  </TitlesOfParts>
  <Company>Ing.-Büro Allmendinger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ZGSTGNT</dc:creator>
  <cp:lastModifiedBy>ZGSTGNT</cp:lastModifiedBy>
  <cp:lastPrinted>2013-01-03T19:50:08Z</cp:lastPrinted>
  <dcterms:created xsi:type="dcterms:W3CDTF">2005-03-11T12:24:13Z</dcterms:created>
  <dcterms:modified xsi:type="dcterms:W3CDTF">2018-01-09T09:35:20Z</dcterms:modified>
</cp:coreProperties>
</file>